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7620" windowHeight="17280" tabRatio="840" firstSheet="1" activeTab="1"/>
  </bookViews>
  <sheets>
    <sheet name="A R Aging Summary - Table 1" sheetId="1" r:id="rId1"/>
    <sheet name="Cash Flow Analysis - Table 1" sheetId="2" r:id="rId2"/>
    <sheet name="Projected WIP - Table 1" sheetId="3" r:id="rId3"/>
    <sheet name="Profit &amp; Loss - Table 1" sheetId="4" r:id="rId4"/>
    <sheet name="Balance Sheet - Table 1" sheetId="5" r:id="rId5"/>
    <sheet name="Staff Cost Analysis - Table 1" sheetId="6" r:id="rId6"/>
    <sheet name="Overhead Analysis - Table 1" sheetId="7" r:id="rId7"/>
  </sheets>
  <definedNames/>
  <calcPr fullCalcOnLoad="1"/>
</workbook>
</file>

<file path=xl/sharedStrings.xml><?xml version="1.0" encoding="utf-8"?>
<sst xmlns="http://schemas.openxmlformats.org/spreadsheetml/2006/main" count="394" uniqueCount="317">
  <si>
    <t xml:space="preserve">      Advertising &amp; Marketing</t>
  </si>
  <si>
    <t xml:space="preserve">      Business &amp; Prof Development</t>
  </si>
  <si>
    <t xml:space="preserve">      Dues &amp; Memberships</t>
  </si>
  <si>
    <t xml:space="preserve">      Bank Accounts</t>
  </si>
  <si>
    <t xml:space="preserve">         Checking </t>
  </si>
  <si>
    <t xml:space="preserve">         Savings </t>
  </si>
  <si>
    <t xml:space="preserve">         Tax Savings</t>
  </si>
  <si>
    <t xml:space="preserve">         Petty Cash</t>
  </si>
  <si>
    <t xml:space="preserve">      Total Bank Accounts</t>
  </si>
  <si>
    <t xml:space="preserve">      Accounts Receivable</t>
  </si>
  <si>
    <t xml:space="preserve">         ACCOUNTS RECEIVABLE</t>
  </si>
  <si>
    <t xml:space="preserve">      Total Accounts Receivable</t>
  </si>
  <si>
    <t xml:space="preserve">   Fixed Assets</t>
  </si>
  <si>
    <t xml:space="preserve">      FIXED ASSETS</t>
  </si>
  <si>
    <t xml:space="preserve">         Accumulated Depreciation</t>
  </si>
  <si>
    <t xml:space="preserve">         Computer Equipment</t>
  </si>
  <si>
    <t xml:space="preserve">         Furniture</t>
  </si>
  <si>
    <t xml:space="preserve">         Leasehold Improvements</t>
  </si>
  <si>
    <t xml:space="preserve">      Total FIXED ASSETS</t>
  </si>
  <si>
    <t>TOTAL ASSETS</t>
  </si>
  <si>
    <t>LIABILITIES AND EQUITY</t>
  </si>
  <si>
    <t xml:space="preserve">   Liabilities</t>
  </si>
  <si>
    <t xml:space="preserve">            Credit Cards</t>
  </si>
  <si>
    <t xml:space="preserve">            B of A Premium CreditLine</t>
  </si>
  <si>
    <t xml:space="preserve">      Total Liabilities</t>
  </si>
  <si>
    <t xml:space="preserve">   Equity</t>
  </si>
  <si>
    <t xml:space="preserve">      Capital Stock</t>
  </si>
  <si>
    <t xml:space="preserve">      Retained Earnings</t>
  </si>
  <si>
    <t xml:space="preserve">      Parnter Distributions</t>
  </si>
  <si>
    <t xml:space="preserve">      Net Income</t>
  </si>
  <si>
    <t xml:space="preserve">   Total Equity</t>
  </si>
  <si>
    <t>TOTAL LIABILITIES AND EQUITY</t>
  </si>
  <si>
    <t>Employee</t>
  </si>
  <si>
    <t>FICA</t>
  </si>
  <si>
    <t>SUTA</t>
  </si>
  <si>
    <t>Bid #3</t>
  </si>
  <si>
    <t>01/13/2010</t>
  </si>
  <si>
    <t>Redesign</t>
  </si>
  <si>
    <t>Bid #4</t>
  </si>
  <si>
    <t>02/16/2010</t>
  </si>
  <si>
    <t>Web Application</t>
  </si>
  <si>
    <t>Bid #5</t>
  </si>
  <si>
    <t xml:space="preserve">     Phase 1</t>
  </si>
  <si>
    <t>02/05/2010</t>
  </si>
  <si>
    <t>Email Campaign Strategy and Design Project</t>
  </si>
  <si>
    <t xml:space="preserve">     Phase 2</t>
  </si>
  <si>
    <t xml:space="preserve">     Phase 3</t>
  </si>
  <si>
    <t>Total for Bid #5</t>
  </si>
  <si>
    <t>Bid #6</t>
  </si>
  <si>
    <t>03/08/2010</t>
  </si>
  <si>
    <t>Total for Bid #6</t>
  </si>
  <si>
    <t>Profit &amp; Loss</t>
  </si>
  <si>
    <t>January - December 2009</t>
  </si>
  <si>
    <t>Income</t>
  </si>
  <si>
    <t>Computer Supplies / Equip</t>
  </si>
  <si>
    <t>Dues / Memberships</t>
  </si>
  <si>
    <t>Equipment (Computer / Office)</t>
  </si>
  <si>
    <t>Events / Prof Development</t>
  </si>
  <si>
    <t>Hosting</t>
  </si>
  <si>
    <t>Liability Insurance</t>
  </si>
  <si>
    <t>Meals / Travel / Entertainment</t>
  </si>
  <si>
    <t>Office Supplies / Coffee / Etc</t>
  </si>
  <si>
    <t>Payroll Service Fees</t>
  </si>
  <si>
    <t>Postage</t>
  </si>
  <si>
    <t>Rent</t>
  </si>
  <si>
    <t>Repairs &amp; Maintenance</t>
  </si>
  <si>
    <t>Security</t>
  </si>
  <si>
    <t>Software</t>
  </si>
  <si>
    <t>State B &amp; O Taxes</t>
  </si>
  <si>
    <t>Balance Sheet</t>
  </si>
  <si>
    <t>As of December 31, 2009</t>
  </si>
  <si>
    <t>Overhead Payroll
Hourly Cost
to Employer
(35% TOTAL)</t>
  </si>
  <si>
    <t>Overhead
Expenses
Cost per
Hour (6)</t>
  </si>
  <si>
    <t>Overhead
Combined
Hourly Cost
to Employer</t>
  </si>
  <si>
    <t>Direct Payroll
plus 
Overhead
Hourly Cost
to Employer</t>
  </si>
  <si>
    <t>BILLABLE
Hourly Rate
(30% Markup
over Cost)</t>
  </si>
  <si>
    <t>Gross Income
Required to cover
Costs @ 30% Markup
(Annual)</t>
  </si>
  <si>
    <t>Expenses</t>
  </si>
  <si>
    <t xml:space="preserve">   DIRECT BUSINESS EXPENSES</t>
  </si>
  <si>
    <t xml:space="preserve">     Project Costs</t>
  </si>
  <si>
    <t xml:space="preserve">      Hosting</t>
  </si>
  <si>
    <t xml:space="preserve">   Total DIRECT BUSINESS EXPENSES</t>
  </si>
  <si>
    <t xml:space="preserve">   EMPLOYEE &amp; STAFF EXPENSES</t>
  </si>
  <si>
    <t xml:space="preserve">      EMPLOYEE BENEFITS &amp; EXPENSES</t>
  </si>
  <si>
    <t xml:space="preserve">         Employee Transportation</t>
  </si>
  <si>
    <t xml:space="preserve">         Insurance</t>
  </si>
  <si>
    <t xml:space="preserve">            Employee Dental Insurance</t>
  </si>
  <si>
    <t xml:space="preserve">            Employee Health Benefits</t>
  </si>
  <si>
    <t xml:space="preserve">         Total Insurance</t>
  </si>
  <si>
    <t xml:space="preserve">         Payroll Service Fees</t>
  </si>
  <si>
    <t xml:space="preserve">         Company 401k Match</t>
  </si>
  <si>
    <t xml:space="preserve">         Staff Meetings &amp; Functions</t>
  </si>
  <si>
    <t xml:space="preserve">      Total EMPLOYEE BENEFITS &amp; EXPENSES</t>
  </si>
  <si>
    <t xml:space="preserve">      PAYROLL TAXES</t>
  </si>
  <si>
    <t xml:space="preserve"> </t>
  </si>
  <si>
    <t xml:space="preserve">         FUTA</t>
  </si>
  <si>
    <t xml:space="preserve">         FICA</t>
  </si>
  <si>
    <t xml:space="preserve">         L &amp; I</t>
  </si>
  <si>
    <t xml:space="preserve">      Total PAYROLL TAXES</t>
  </si>
  <si>
    <t xml:space="preserve">      SALARIES &amp; WAGES</t>
  </si>
  <si>
    <t xml:space="preserve">         Software</t>
  </si>
  <si>
    <t xml:space="preserve">      Total SUPPLIES</t>
  </si>
  <si>
    <t xml:space="preserve">      Taxes</t>
  </si>
  <si>
    <t xml:space="preserve">         City Taxes</t>
  </si>
  <si>
    <t xml:space="preserve">         State Taxes</t>
  </si>
  <si>
    <t xml:space="preserve">      Total Taxes</t>
  </si>
  <si>
    <t xml:space="preserve">      Utilities</t>
  </si>
  <si>
    <t xml:space="preserve">         Security</t>
  </si>
  <si>
    <t xml:space="preserve">         Telephone, Electricity, Etc.</t>
  </si>
  <si>
    <t xml:space="preserve">      Total Utilities</t>
  </si>
  <si>
    <t xml:space="preserve">   Total GEN &amp; ADMIN EXPENSES</t>
  </si>
  <si>
    <t>Total Expenses</t>
  </si>
  <si>
    <t>Net Income</t>
  </si>
  <si>
    <t>ASSETS</t>
  </si>
  <si>
    <t xml:space="preserve">   Current Assets</t>
  </si>
  <si>
    <t>Aug 29 - Sep 4</t>
  </si>
  <si>
    <t>Sep 5-11</t>
  </si>
  <si>
    <t>Sep 12-18</t>
  </si>
  <si>
    <t>Sep 19-25</t>
  </si>
  <si>
    <t>Sep 26 - Oct 2</t>
  </si>
  <si>
    <t>Oct 3-9</t>
  </si>
  <si>
    <t>Oct 10-16</t>
  </si>
  <si>
    <t>Oct 17-23</t>
  </si>
  <si>
    <t>Oct 24-30</t>
  </si>
  <si>
    <t>Oct 31 - Nov 6</t>
  </si>
  <si>
    <t>Nov 7-13</t>
  </si>
  <si>
    <t>Nov 14-20</t>
  </si>
  <si>
    <t>Nov 21-27</t>
  </si>
  <si>
    <t>Nov 28 - Dec 4</t>
  </si>
  <si>
    <t>Dec 5-11</t>
  </si>
  <si>
    <t>Dec 12-18</t>
  </si>
  <si>
    <t>Dec 19-25</t>
  </si>
  <si>
    <t>Dec 26-31</t>
  </si>
  <si>
    <t>Opening cash</t>
  </si>
  <si>
    <t>Accounts Receivable</t>
  </si>
  <si>
    <t xml:space="preserve">     Current</t>
  </si>
  <si>
    <t xml:space="preserve">         Design Salaries &amp; Wages</t>
  </si>
  <si>
    <t xml:space="preserve">         Marketing Salaries &amp; Wages</t>
  </si>
  <si>
    <t xml:space="preserve">        Partner Salaries &amp; Wages</t>
  </si>
  <si>
    <t xml:space="preserve">      Total SALARIES &amp; WAGES</t>
  </si>
  <si>
    <t xml:space="preserve">   Total EMPLOYEE &amp; STAFF EXPENSES</t>
  </si>
  <si>
    <t xml:space="preserve">   GEN &amp; ADMIN EXPENSES</t>
  </si>
  <si>
    <t xml:space="preserve">         Accounting</t>
  </si>
  <si>
    <t xml:space="preserve">         Bookkeeping</t>
  </si>
  <si>
    <t xml:space="preserve">      Total Professional Fees</t>
  </si>
  <si>
    <t xml:space="preserve">      Rent</t>
  </si>
  <si>
    <t xml:space="preserve">      Repairs &amp; Maintenance</t>
  </si>
  <si>
    <t xml:space="preserve">      SUPPLIES &amp; EQUIPMENT</t>
  </si>
  <si>
    <t xml:space="preserve">         Computer Supplies</t>
  </si>
  <si>
    <t xml:space="preserve">         Office Supplies</t>
  </si>
  <si>
    <t xml:space="preserve">         Equipment - Office &amp; Computer</t>
  </si>
  <si>
    <t xml:space="preserve">     1 - 30 Days Past Due</t>
  </si>
  <si>
    <t xml:space="preserve">     31 - 60 Days Past Due</t>
  </si>
  <si>
    <t xml:space="preserve">     61 - 90 Days Past Due</t>
  </si>
  <si>
    <t xml:space="preserve">     &gt; 90 Days Past Due</t>
  </si>
  <si>
    <t>Total Accounts Receivable</t>
  </si>
  <si>
    <t>Total Income</t>
  </si>
  <si>
    <t>Payroll</t>
  </si>
  <si>
    <t>IRA Contribution</t>
  </si>
  <si>
    <t>Health Insurance</t>
  </si>
  <si>
    <t>Dental Insurance</t>
  </si>
  <si>
    <t>Employee Transportation</t>
  </si>
  <si>
    <t>Total Payroll</t>
  </si>
  <si>
    <t>Fixed Overhead</t>
  </si>
  <si>
    <t>Total Fixed Overhead</t>
  </si>
  <si>
    <t>Debts Payable</t>
  </si>
  <si>
    <t>Line of Credit</t>
  </si>
  <si>
    <t>L &amp; I</t>
  </si>
  <si>
    <t>FUTA</t>
  </si>
  <si>
    <t>Medical</t>
  </si>
  <si>
    <t>401(k)</t>
  </si>
  <si>
    <t xml:space="preserve">Sick / </t>
  </si>
  <si>
    <t xml:space="preserve">TOTAL </t>
  </si>
  <si>
    <t>Salary</t>
  </si>
  <si>
    <t xml:space="preserve">Annual   </t>
  </si>
  <si>
    <t>Annual</t>
  </si>
  <si>
    <t>.0143 per $</t>
  </si>
  <si>
    <t xml:space="preserve">0.1313 per  </t>
  </si>
  <si>
    <t xml:space="preserve">8% on$7,000 </t>
  </si>
  <si>
    <t>Life / Vision</t>
  </si>
  <si>
    <t>Dental</t>
  </si>
  <si>
    <t>Employer</t>
  </si>
  <si>
    <t>Transportation</t>
  </si>
  <si>
    <t>Design Commission</t>
  </si>
  <si>
    <t>A/R Aging Summary</t>
  </si>
  <si>
    <t>As of December 31, 2009</t>
  </si>
  <si>
    <t>Current</t>
  </si>
  <si>
    <t>1 - 30</t>
  </si>
  <si>
    <t>31 - 60</t>
  </si>
  <si>
    <t>61 - 90</t>
  </si>
  <si>
    <t>91 and over</t>
  </si>
  <si>
    <t>Total</t>
  </si>
  <si>
    <t>Client #1</t>
  </si>
  <si>
    <t>Client #2</t>
  </si>
  <si>
    <t>Client #3</t>
  </si>
  <si>
    <t>Client #4</t>
  </si>
  <si>
    <t>Client #5</t>
  </si>
  <si>
    <t>Client #6</t>
  </si>
  <si>
    <t>TOTAL</t>
  </si>
  <si>
    <t>Estimates / Projected WIP</t>
  </si>
  <si>
    <t>Date</t>
  </si>
  <si>
    <t>Status</t>
  </si>
  <si>
    <t>Amount</t>
  </si>
  <si>
    <t>Memo/Description</t>
  </si>
  <si>
    <t>Bid #1</t>
  </si>
  <si>
    <t>11/04/2009</t>
  </si>
  <si>
    <t>Accepted</t>
  </si>
  <si>
    <t>Design</t>
  </si>
  <si>
    <t>Bid #2</t>
  </si>
  <si>
    <t>02/01/2010</t>
  </si>
  <si>
    <t>Pending</t>
  </si>
  <si>
    <t>Credit Card</t>
  </si>
  <si>
    <t>TOTAL Debts Payable</t>
  </si>
  <si>
    <t>Misc</t>
  </si>
  <si>
    <t>20% Profit</t>
  </si>
  <si>
    <t>Closing Cash</t>
  </si>
  <si>
    <t>This tells the total liquid position of a business</t>
  </si>
  <si>
    <t>Vacation</t>
  </si>
  <si>
    <t>Effective</t>
  </si>
  <si>
    <t>Employer Cost</t>
  </si>
  <si>
    <t xml:space="preserve">(Effective   </t>
  </si>
  <si>
    <t>Full-Time</t>
  </si>
  <si>
    <t xml:space="preserve">Gross  </t>
  </si>
  <si>
    <t>capped at</t>
  </si>
  <si>
    <t>Worked Hour</t>
  </si>
  <si>
    <t>or $56 / person</t>
  </si>
  <si>
    <t>Benefits</t>
  </si>
  <si>
    <t xml:space="preserve">Benefits   </t>
  </si>
  <si>
    <t xml:space="preserve">Match </t>
  </si>
  <si>
    <t>$40 / month</t>
  </si>
  <si>
    <t>Benefit</t>
  </si>
  <si>
    <t>Cost to</t>
  </si>
  <si>
    <t>Hourly Cost</t>
  </si>
  <si>
    <t>% increase over</t>
  </si>
  <si>
    <t>Rate)</t>
  </si>
  <si>
    <t>Utilties (Phone, Electricity, Etc)</t>
  </si>
  <si>
    <t>TOTAL Overhead Expenses</t>
  </si>
  <si>
    <t xml:space="preserve"> 
Employee</t>
  </si>
  <si>
    <t>Direct
Payroll
Cost to 
Employer</t>
  </si>
  <si>
    <t>TOTAL
Payroll
Hourly Cost
to Employer</t>
  </si>
  <si>
    <t>This figure represents the profitability of a business over its lifetime. You are looking for big, positive numbers.</t>
  </si>
  <si>
    <t xml:space="preserve">This represents the amount of cash the partners have drawn from the business.  This does not include payroll figures, just the distributions taken. </t>
  </si>
  <si>
    <t xml:space="preserve"> The Total Liabilties MUST equal the Total Assets….this is the basis of a "Balance" sheet.</t>
  </si>
  <si>
    <t xml:space="preserve">   Total Income (AGI)</t>
  </si>
  <si>
    <t xml:space="preserve">         SUTA</t>
  </si>
  <si>
    <t xml:space="preserve">        Clerical Salaries &amp; Wages</t>
  </si>
  <si>
    <t>Mar 7-13</t>
  </si>
  <si>
    <t>Mar 14-20</t>
  </si>
  <si>
    <t>Mar 21-27</t>
  </si>
  <si>
    <t>Mar 28 - Apr 3</t>
  </si>
  <si>
    <t>Apr 4-10</t>
  </si>
  <si>
    <t>Apr 11-17</t>
  </si>
  <si>
    <t>Apr 18-24</t>
  </si>
  <si>
    <t>Apr 25 - May 1</t>
  </si>
  <si>
    <t>May 2-8</t>
  </si>
  <si>
    <t>May 9-15</t>
  </si>
  <si>
    <t>May 16-22</t>
  </si>
  <si>
    <t>May 23-29</t>
  </si>
  <si>
    <t>May 30 - Jun 5</t>
  </si>
  <si>
    <t>Jun 6-12</t>
  </si>
  <si>
    <t>Jun 13-19</t>
  </si>
  <si>
    <t>Jun 20-26</t>
  </si>
  <si>
    <t>Jun 27 - Jul 3</t>
  </si>
  <si>
    <t>Jul 4-10</t>
  </si>
  <si>
    <t>Jul 11-17</t>
  </si>
  <si>
    <t>Jul 18-24</t>
  </si>
  <si>
    <t>Jul 25-31</t>
  </si>
  <si>
    <t>Aug 1-7</t>
  </si>
  <si>
    <t>Aug 8-14</t>
  </si>
  <si>
    <t>Aug 15-21</t>
  </si>
  <si>
    <t>Aug 22-28</t>
  </si>
  <si>
    <t>This number represents the current strength of a business.  The higher this number the better!</t>
  </si>
  <si>
    <t>Taxes/Labor Costs</t>
  </si>
  <si>
    <t>Hours</t>
  </si>
  <si>
    <t>Wages</t>
  </si>
  <si>
    <t>$34,500 / yr</t>
  </si>
  <si>
    <t>(Clerical)</t>
  </si>
  <si>
    <t>per year</t>
  </si>
  <si>
    <t>Annualized</t>
  </si>
  <si>
    <t>3% Gross</t>
  </si>
  <si>
    <t>(3 Weeks Total)</t>
  </si>
  <si>
    <t>to Employer</t>
  </si>
  <si>
    <t>Employee Rate</t>
  </si>
  <si>
    <t>Partner #1</t>
  </si>
  <si>
    <t>EXEMPT</t>
  </si>
  <si>
    <t>Partner #2</t>
  </si>
  <si>
    <t>Partner Subtotal</t>
  </si>
  <si>
    <t>Design Staff #1</t>
  </si>
  <si>
    <t>Design Staff #2</t>
  </si>
  <si>
    <t>Clerical Staff #1</t>
  </si>
  <si>
    <t>Marketing Staff #1</t>
  </si>
  <si>
    <t>Employee Subtotal</t>
  </si>
  <si>
    <t>Cost per</t>
  </si>
  <si>
    <t>Overhead Expenses:</t>
  </si>
  <si>
    <t xml:space="preserve">Monthly </t>
  </si>
  <si>
    <t>Employee (6)</t>
  </si>
  <si>
    <t>Hour (6)</t>
  </si>
  <si>
    <t>Accounting</t>
  </si>
  <si>
    <t>Advertising / Marketing</t>
  </si>
  <si>
    <t>Bookkeeping</t>
  </si>
  <si>
    <t>City B &amp; O Taxes</t>
  </si>
  <si>
    <t>Gross Income
Required to cover
Costs @ 30% Markup
Quarterly</t>
  </si>
  <si>
    <t>Gross Income
Required to cover
Costs @ 30% Markup
(Monthly)</t>
  </si>
  <si>
    <t>Jan 1-2</t>
  </si>
  <si>
    <t>Jan 3-9</t>
  </si>
  <si>
    <t>Jan 10-16</t>
  </si>
  <si>
    <t>Jan 17-23</t>
  </si>
  <si>
    <t>Jan 24-30</t>
  </si>
  <si>
    <t>Jan 31 - Feb 6</t>
  </si>
  <si>
    <t>Feb 7-13</t>
  </si>
  <si>
    <t>Feb 14-20</t>
  </si>
  <si>
    <t>Feb 21-27</t>
  </si>
  <si>
    <t>Feb 28 - Mar 6</t>
  </si>
  <si>
    <t xml:space="preserve">      Business Liability Insurance</t>
  </si>
  <si>
    <t xml:space="preserve">      Travel, Meals, Entertainment</t>
  </si>
  <si>
    <t xml:space="preserve">      Postage and Delivery</t>
  </si>
  <si>
    <t xml:space="preserve">      Professional Fees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</si>
</sst>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$&quot;* #,##0.00_-;_-&quot;$&quot;* \(#,##0.00\)_-;_-&quot;$&quot;* &quot;-&quot;??;_-@_-"/>
    <numFmt numFmtId="171" formatCode="&quot;$&quot;#,##0.00"/>
    <numFmt numFmtId="172" formatCode="m/d\ h:mm"/>
    <numFmt numFmtId="173" formatCode="&quot;$&quot;#,##0\ ;&quot;-&quot;&quot;$&quot;#,##0\ "/>
    <numFmt numFmtId="174" formatCode="[$GBP]#,##0;[Red][$GBP]#,##0"/>
    <numFmt numFmtId="175" formatCode="&quot;$&quot;#,##0"/>
  </numFmts>
  <fonts count="1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4"/>
      <color indexed="9"/>
      <name val="Helvetica Neue"/>
      <family val="0"/>
    </font>
    <font>
      <b/>
      <sz val="11"/>
      <color indexed="9"/>
      <name val="Helvetica Neue"/>
      <family val="0"/>
    </font>
    <font>
      <b/>
      <sz val="9"/>
      <color indexed="9"/>
      <name val="Helvetica Neue"/>
      <family val="0"/>
    </font>
    <font>
      <b/>
      <sz val="8"/>
      <color indexed="9"/>
      <name val="Helvetica Neue"/>
      <family val="0"/>
    </font>
    <font>
      <sz val="8"/>
      <color indexed="9"/>
      <name val="Helvetica Neue"/>
      <family val="0"/>
    </font>
    <font>
      <b/>
      <u val="single"/>
      <sz val="8"/>
      <color indexed="9"/>
      <name val="Helvetica Neue"/>
      <family val="0"/>
    </font>
    <font>
      <sz val="8"/>
      <name val="Verdana"/>
      <family val="0"/>
    </font>
    <font>
      <b/>
      <sz val="11"/>
      <color indexed="8"/>
      <name val="Helvetica Neue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4"/>
      <color indexed="8"/>
      <name val="Helvetica Neue"/>
      <family val="0"/>
    </font>
    <font>
      <b/>
      <sz val="13"/>
      <color indexed="8"/>
      <name val="Helvetica Neue"/>
      <family val="0"/>
    </font>
    <font>
      <i/>
      <sz val="11"/>
      <color indexed="8"/>
      <name val="Arial Narrow"/>
      <family val="0"/>
    </font>
    <font>
      <sz val="8"/>
      <color indexed="8"/>
      <name val="Helvetica Neue"/>
      <family val="0"/>
    </font>
    <font>
      <sz val="14"/>
      <color indexed="8"/>
      <name val="Helvetica Neue"/>
      <family val="0"/>
    </font>
    <font>
      <b/>
      <sz val="10"/>
      <color indexed="8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11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11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</border>
    <border>
      <left style="thin">
        <color indexed="12"/>
      </left>
      <right>
        <color indexed="11"/>
      </right>
      <top style="thin">
        <color indexed="12"/>
      </top>
      <bottom style="thin">
        <color indexed="14"/>
      </bottom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</border>
    <border>
      <left style="thin">
        <color indexed="12"/>
      </left>
      <right>
        <color indexed="11"/>
      </right>
      <top style="thin">
        <color indexed="14"/>
      </top>
      <bottom style="thin">
        <color indexed="12"/>
      </bottom>
    </border>
    <border>
      <left>
        <color indexed="11"/>
      </left>
      <right style="thin">
        <color indexed="12"/>
      </right>
      <top style="thin">
        <color indexed="12"/>
      </top>
      <bottom>
        <color indexed="11"/>
      </bottom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4"/>
      </bottom>
    </border>
    <border>
      <left style="thin">
        <color indexed="12"/>
      </left>
      <right>
        <color indexed="11"/>
      </right>
      <top style="thin">
        <color indexed="14"/>
      </top>
      <bottom style="thin">
        <color indexed="14"/>
      </bottom>
    </border>
    <border>
      <left>
        <color indexed="11"/>
      </left>
      <right style="medium">
        <color indexed="12"/>
      </right>
      <top>
        <color indexed="17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17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17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17"/>
      </top>
      <bottom style="thin">
        <color indexed="12"/>
      </bottom>
    </border>
    <border>
      <left style="thin">
        <color indexed="12"/>
      </left>
      <right>
        <color indexed="11"/>
      </right>
      <top>
        <color indexed="17"/>
      </top>
      <bottom style="thin">
        <color indexed="12"/>
      </bottom>
    </border>
    <border>
      <left>
        <color indexed="11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11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11"/>
      </right>
      <top style="medium">
        <color indexed="12"/>
      </top>
      <bottom style="thin">
        <color indexed="12"/>
      </bottom>
    </border>
    <border>
      <left>
        <color indexed="11"/>
      </left>
      <right style="medium">
        <color indexed="12"/>
      </right>
      <top style="thin">
        <color indexed="12"/>
      </top>
      <bottom>
        <color indexed="11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11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11"/>
      </bottom>
    </border>
    <border>
      <left style="thin">
        <color indexed="12"/>
      </left>
      <right>
        <color indexed="11"/>
      </right>
      <top style="thin">
        <color indexed="12"/>
      </top>
      <bottom>
        <color indexed="11"/>
      </bottom>
    </border>
    <border>
      <left>
        <color indexed="11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11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11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4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11"/>
      </left>
      <right style="thin">
        <color indexed="12"/>
      </right>
      <top>
        <color indexed="63"/>
      </top>
      <bottom>
        <color indexed="11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11"/>
      </bottom>
    </border>
    <border>
      <left>
        <color indexed="11"/>
      </left>
      <right style="thin">
        <color indexed="12"/>
      </right>
      <top>
        <color indexed="11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11"/>
      </top>
      <bottom style="thin">
        <color indexed="12"/>
      </bottom>
    </border>
    <border>
      <left style="thin">
        <color indexed="12"/>
      </left>
      <right>
        <color indexed="11"/>
      </right>
      <top>
        <color indexed="11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11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11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1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11"/>
      </left>
      <right style="thin">
        <color indexed="12"/>
      </right>
      <top style="thin"/>
      <bottom style="thin">
        <color indexed="12"/>
      </bottom>
    </border>
    <border>
      <left>
        <color indexed="11"/>
      </left>
      <right style="thin">
        <color indexed="12"/>
      </right>
      <top style="thin"/>
      <bottom>
        <color indexed="63"/>
      </bottom>
    </border>
    <border>
      <left>
        <color indexed="11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4"/>
      </bottom>
    </border>
    <border>
      <left>
        <color indexed="11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11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11"/>
      </right>
      <top>
        <color indexed="63"/>
      </top>
      <bottom style="medium">
        <color indexed="12"/>
      </bottom>
    </border>
    <border>
      <left>
        <color indexed="11"/>
      </left>
      <right style="medium">
        <color indexed="12"/>
      </right>
      <top style="thin"/>
      <bottom style="thin"/>
    </border>
    <border>
      <left style="medium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medium">
        <color indexed="12"/>
      </right>
      <top style="thin"/>
      <bottom style="thin"/>
    </border>
    <border>
      <left>
        <color indexed="11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wrapText="1"/>
    </xf>
    <xf numFmtId="0" fontId="4" fillId="3" borderId="4" xfId="0" applyNumberFormat="1" applyFont="1" applyFill="1" applyBorder="1" applyAlignment="1">
      <alignment horizontal="center" wrapText="1"/>
    </xf>
    <xf numFmtId="0" fontId="4" fillId="3" borderId="5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left" wrapText="1"/>
    </xf>
    <xf numFmtId="4" fontId="6" fillId="2" borderId="6" xfId="0" applyNumberFormat="1" applyFont="1" applyFill="1" applyBorder="1" applyAlignment="1">
      <alignment horizontal="left" wrapText="1"/>
    </xf>
    <xf numFmtId="4" fontId="6" fillId="2" borderId="6" xfId="0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4" fontId="6" fillId="3" borderId="4" xfId="0" applyNumberFormat="1" applyFont="1" applyFill="1" applyBorder="1" applyAlignment="1">
      <alignment horizontal="right" wrapText="1"/>
    </xf>
    <xf numFmtId="4" fontId="6" fillId="3" borderId="5" xfId="0" applyNumberFormat="1" applyFont="1" applyFill="1" applyBorder="1" applyAlignment="1">
      <alignment horizontal="right" wrapText="1"/>
    </xf>
    <xf numFmtId="4" fontId="5" fillId="2" borderId="8" xfId="0" applyNumberFormat="1" applyFont="1" applyFill="1" applyBorder="1" applyAlignment="1">
      <alignment horizontal="left" wrapText="1"/>
    </xf>
    <xf numFmtId="170" fontId="7" fillId="2" borderId="9" xfId="0" applyNumberFormat="1" applyFont="1" applyFill="1" applyBorder="1" applyAlignment="1">
      <alignment horizontal="right" wrapText="1"/>
    </xf>
    <xf numFmtId="170" fontId="7" fillId="2" borderId="10" xfId="0" applyNumberFormat="1" applyFont="1" applyFill="1" applyBorder="1" applyAlignment="1">
      <alignment horizontal="right" wrapText="1"/>
    </xf>
    <xf numFmtId="172" fontId="9" fillId="3" borderId="0" xfId="0" applyNumberFormat="1" applyFont="1" applyFill="1" applyBorder="1" applyAlignment="1">
      <alignment horizontal="center" vertical="center"/>
    </xf>
    <xf numFmtId="172" fontId="9" fillId="3" borderId="0" xfId="0" applyNumberFormat="1" applyFont="1" applyFill="1" applyBorder="1" applyAlignment="1">
      <alignment horizontal="center" vertical="center"/>
    </xf>
    <xf numFmtId="172" fontId="9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0" fillId="3" borderId="11" xfId="0" applyNumberFormat="1" applyFont="1" applyFill="1" applyBorder="1" applyAlignment="1">
      <alignment vertical="top" wrapText="1"/>
    </xf>
    <xf numFmtId="0" fontId="0" fillId="3" borderId="12" xfId="0" applyNumberFormat="1" applyFont="1" applyFill="1" applyBorder="1" applyAlignment="1">
      <alignment vertical="top" wrapText="1"/>
    </xf>
    <xf numFmtId="0" fontId="0" fillId="3" borderId="13" xfId="0" applyNumberFormat="1" applyFont="1" applyFill="1" applyBorder="1" applyAlignment="1">
      <alignment vertical="top" wrapText="1"/>
    </xf>
    <xf numFmtId="0" fontId="0" fillId="3" borderId="14" xfId="0" applyNumberFormat="1" applyFont="1" applyFill="1" applyBorder="1" applyAlignment="1">
      <alignment vertical="top" wrapText="1"/>
    </xf>
    <xf numFmtId="0" fontId="0" fillId="3" borderId="15" xfId="0" applyNumberFormat="1" applyFont="1" applyFill="1" applyBorder="1" applyAlignment="1">
      <alignment vertical="top" wrapText="1"/>
    </xf>
    <xf numFmtId="0" fontId="12" fillId="2" borderId="16" xfId="0" applyNumberFormat="1" applyFont="1" applyFill="1" applyBorder="1" applyAlignment="1">
      <alignment vertical="top" wrapText="1"/>
    </xf>
    <xf numFmtId="0" fontId="0" fillId="2" borderId="17" xfId="0" applyNumberFormat="1" applyFont="1" applyFill="1" applyBorder="1" applyAlignment="1">
      <alignment vertical="top"/>
    </xf>
    <xf numFmtId="0" fontId="0" fillId="2" borderId="1" xfId="0" applyNumberFormat="1" applyFont="1" applyFill="1" applyBorder="1" applyAlignment="1">
      <alignment vertical="top"/>
    </xf>
    <xf numFmtId="0" fontId="0" fillId="2" borderId="18" xfId="0" applyNumberFormat="1" applyFont="1" applyFill="1" applyBorder="1" applyAlignment="1">
      <alignment vertical="top"/>
    </xf>
    <xf numFmtId="0" fontId="0" fillId="2" borderId="3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9" fillId="3" borderId="16" xfId="0" applyNumberFormat="1" applyFont="1" applyFill="1" applyBorder="1" applyAlignment="1">
      <alignment vertical="top" wrapText="1"/>
    </xf>
    <xf numFmtId="173" fontId="9" fillId="3" borderId="17" xfId="0" applyNumberFormat="1" applyFont="1" applyFill="1" applyBorder="1" applyAlignment="1">
      <alignment vertical="top"/>
    </xf>
    <xf numFmtId="173" fontId="9" fillId="3" borderId="1" xfId="0" applyNumberFormat="1" applyFont="1" applyFill="1" applyBorder="1" applyAlignment="1">
      <alignment vertical="top"/>
    </xf>
    <xf numFmtId="173" fontId="9" fillId="3" borderId="18" xfId="0" applyNumberFormat="1" applyFont="1" applyFill="1" applyBorder="1" applyAlignment="1">
      <alignment vertical="top"/>
    </xf>
    <xf numFmtId="174" fontId="9" fillId="3" borderId="3" xfId="0" applyNumberFormat="1" applyFont="1" applyFill="1" applyBorder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0" fontId="0" fillId="3" borderId="16" xfId="0" applyNumberFormat="1" applyFont="1" applyFill="1" applyBorder="1" applyAlignment="1">
      <alignment vertical="top" wrapText="1"/>
    </xf>
    <xf numFmtId="8" fontId="0" fillId="3" borderId="17" xfId="0" applyNumberFormat="1" applyFont="1" applyFill="1" applyBorder="1" applyAlignment="1">
      <alignment vertical="top"/>
    </xf>
    <xf numFmtId="8" fontId="0" fillId="3" borderId="1" xfId="0" applyNumberFormat="1" applyFont="1" applyFill="1" applyBorder="1" applyAlignment="1">
      <alignment vertical="top"/>
    </xf>
    <xf numFmtId="0" fontId="0" fillId="3" borderId="1" xfId="0" applyNumberFormat="1" applyFont="1" applyFill="1" applyBorder="1" applyAlignment="1">
      <alignment vertical="top" wrapText="1"/>
    </xf>
    <xf numFmtId="0" fontId="0" fillId="3" borderId="18" xfId="0" applyNumberFormat="1" applyFont="1" applyFill="1" applyBorder="1" applyAlignment="1">
      <alignment vertical="top" wrapText="1"/>
    </xf>
    <xf numFmtId="0" fontId="0" fillId="3" borderId="17" xfId="0" applyNumberFormat="1" applyFont="1" applyFill="1" applyBorder="1" applyAlignment="1">
      <alignment vertical="top" wrapText="1"/>
    </xf>
    <xf numFmtId="173" fontId="0" fillId="3" borderId="18" xfId="0" applyNumberFormat="1" applyFont="1" applyFill="1" applyBorder="1" applyAlignment="1">
      <alignment vertical="top"/>
    </xf>
    <xf numFmtId="173" fontId="0" fillId="3" borderId="17" xfId="0" applyNumberFormat="1" applyFont="1" applyFill="1" applyBorder="1" applyAlignment="1">
      <alignment vertical="top"/>
    </xf>
    <xf numFmtId="173" fontId="0" fillId="3" borderId="1" xfId="0" applyNumberFormat="1" applyFont="1" applyFill="1" applyBorder="1" applyAlignment="1">
      <alignment vertical="top"/>
    </xf>
    <xf numFmtId="171" fontId="0" fillId="3" borderId="3" xfId="0" applyNumberFormat="1" applyFont="1" applyFill="1" applyBorder="1" applyAlignment="1">
      <alignment vertical="top" wrapText="1"/>
    </xf>
    <xf numFmtId="8" fontId="0" fillId="3" borderId="18" xfId="0" applyNumberFormat="1" applyFont="1" applyFill="1" applyBorder="1" applyAlignment="1">
      <alignment vertical="top"/>
    </xf>
    <xf numFmtId="8" fontId="9" fillId="3" borderId="17" xfId="0" applyNumberFormat="1" applyFont="1" applyFill="1" applyBorder="1" applyAlignment="1">
      <alignment vertical="top"/>
    </xf>
    <xf numFmtId="8" fontId="9" fillId="3" borderId="1" xfId="0" applyNumberFormat="1" applyFont="1" applyFill="1" applyBorder="1" applyAlignment="1">
      <alignment vertical="top"/>
    </xf>
    <xf numFmtId="8" fontId="9" fillId="3" borderId="18" xfId="0" applyNumberFormat="1" applyFont="1" applyFill="1" applyBorder="1" applyAlignment="1">
      <alignment vertical="top"/>
    </xf>
    <xf numFmtId="171" fontId="9" fillId="3" borderId="3" xfId="0" applyNumberFormat="1" applyFont="1" applyFill="1" applyBorder="1" applyAlignment="1">
      <alignment vertical="top" wrapText="1"/>
    </xf>
    <xf numFmtId="173" fontId="13" fillId="2" borderId="17" xfId="0" applyNumberFormat="1" applyFont="1" applyFill="1" applyBorder="1" applyAlignment="1">
      <alignment vertical="top"/>
    </xf>
    <xf numFmtId="173" fontId="13" fillId="2" borderId="1" xfId="0" applyNumberFormat="1" applyFont="1" applyFill="1" applyBorder="1" applyAlignment="1">
      <alignment vertical="top"/>
    </xf>
    <xf numFmtId="173" fontId="13" fillId="2" borderId="18" xfId="0" applyNumberFormat="1" applyFont="1" applyFill="1" applyBorder="1" applyAlignment="1">
      <alignment vertical="top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2" fillId="2" borderId="19" xfId="0" applyNumberFormat="1" applyFont="1" applyFill="1" applyBorder="1" applyAlignment="1">
      <alignment vertical="top" wrapText="1"/>
    </xf>
    <xf numFmtId="173" fontId="0" fillId="2" borderId="20" xfId="0" applyNumberFormat="1" applyFont="1" applyFill="1" applyBorder="1" applyAlignment="1">
      <alignment vertical="top"/>
    </xf>
    <xf numFmtId="173" fontId="0" fillId="2" borderId="21" xfId="0" applyNumberFormat="1" applyFont="1" applyFill="1" applyBorder="1" applyAlignment="1">
      <alignment vertical="top"/>
    </xf>
    <xf numFmtId="173" fontId="0" fillId="2" borderId="22" xfId="0" applyNumberFormat="1" applyFont="1" applyFill="1" applyBorder="1" applyAlignment="1">
      <alignment vertical="top"/>
    </xf>
    <xf numFmtId="171" fontId="0" fillId="2" borderId="23" xfId="0" applyNumberFormat="1" applyFont="1" applyFill="1" applyBorder="1" applyAlignment="1">
      <alignment vertical="top" wrapText="1"/>
    </xf>
    <xf numFmtId="173" fontId="0" fillId="3" borderId="16" xfId="0" applyNumberFormat="1" applyFont="1" applyFill="1" applyBorder="1" applyAlignment="1">
      <alignment vertical="top" wrapText="1"/>
    </xf>
    <xf numFmtId="175" fontId="0" fillId="3" borderId="17" xfId="0" applyNumberFormat="1" applyFont="1" applyFill="1" applyBorder="1" applyAlignment="1">
      <alignment vertical="top"/>
    </xf>
    <xf numFmtId="175" fontId="0" fillId="3" borderId="1" xfId="0" applyNumberFormat="1" applyFont="1" applyFill="1" applyBorder="1" applyAlignment="1">
      <alignment vertical="top"/>
    </xf>
    <xf numFmtId="175" fontId="0" fillId="3" borderId="18" xfId="0" applyNumberFormat="1" applyFont="1" applyFill="1" applyBorder="1" applyAlignment="1">
      <alignment vertical="top"/>
    </xf>
    <xf numFmtId="0" fontId="0" fillId="3" borderId="16" xfId="0" applyNumberFormat="1" applyFont="1" applyFill="1" applyBorder="1" applyAlignment="1">
      <alignment wrapText="1"/>
    </xf>
    <xf numFmtId="8" fontId="0" fillId="3" borderId="1" xfId="0" applyNumberFormat="1" applyFont="1" applyFill="1" applyBorder="1" applyAlignment="1">
      <alignment horizontal="right"/>
    </xf>
    <xf numFmtId="8" fontId="0" fillId="3" borderId="17" xfId="0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 vertical="top" wrapText="1"/>
    </xf>
    <xf numFmtId="173" fontId="0" fillId="3" borderId="17" xfId="0" applyNumberFormat="1" applyFont="1" applyFill="1" applyBorder="1" applyAlignment="1">
      <alignment vertical="top"/>
    </xf>
    <xf numFmtId="173" fontId="0" fillId="3" borderId="1" xfId="0" applyNumberFormat="1" applyFont="1" applyFill="1" applyBorder="1" applyAlignment="1">
      <alignment vertical="top"/>
    </xf>
    <xf numFmtId="173" fontId="0" fillId="3" borderId="18" xfId="0" applyNumberFormat="1" applyFont="1" applyFill="1" applyBorder="1" applyAlignment="1">
      <alignment vertical="top"/>
    </xf>
    <xf numFmtId="174" fontId="0" fillId="3" borderId="3" xfId="0" applyNumberFormat="1" applyFont="1" applyFill="1" applyBorder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0" fontId="0" fillId="3" borderId="17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18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9" fillId="2" borderId="16" xfId="0" applyNumberFormat="1" applyFont="1" applyFill="1" applyBorder="1" applyAlignment="1">
      <alignment vertical="top" wrapText="1"/>
    </xf>
    <xf numFmtId="8" fontId="9" fillId="2" borderId="17" xfId="0" applyNumberFormat="1" applyFont="1" applyFill="1" applyBorder="1" applyAlignment="1">
      <alignment vertical="top"/>
    </xf>
    <xf numFmtId="8" fontId="9" fillId="2" borderId="1" xfId="0" applyNumberFormat="1" applyFont="1" applyFill="1" applyBorder="1" applyAlignment="1">
      <alignment vertical="top"/>
    </xf>
    <xf numFmtId="8" fontId="9" fillId="2" borderId="18" xfId="0" applyNumberFormat="1" applyFont="1" applyFill="1" applyBorder="1" applyAlignment="1">
      <alignment vertical="top"/>
    </xf>
    <xf numFmtId="171" fontId="9" fillId="2" borderId="3" xfId="0" applyNumberFormat="1" applyFont="1" applyFill="1" applyBorder="1" applyAlignment="1">
      <alignment vertical="top" wrapText="1"/>
    </xf>
    <xf numFmtId="0" fontId="0" fillId="2" borderId="0" xfId="0" applyNumberFormat="1" applyFont="1" applyFill="1" applyAlignment="1">
      <alignment vertical="top" wrapText="1"/>
    </xf>
    <xf numFmtId="173" fontId="9" fillId="2" borderId="17" xfId="0" applyNumberFormat="1" applyFont="1" applyFill="1" applyBorder="1" applyAlignment="1">
      <alignment vertical="top"/>
    </xf>
    <xf numFmtId="173" fontId="9" fillId="2" borderId="1" xfId="0" applyNumberFormat="1" applyFont="1" applyFill="1" applyBorder="1" applyAlignment="1">
      <alignment vertical="top"/>
    </xf>
    <xf numFmtId="173" fontId="9" fillId="2" borderId="18" xfId="0" applyNumberFormat="1" applyFont="1" applyFill="1" applyBorder="1" applyAlignment="1">
      <alignment vertical="top"/>
    </xf>
    <xf numFmtId="174" fontId="13" fillId="2" borderId="3" xfId="0" applyNumberFormat="1" applyFont="1" applyFill="1" applyBorder="1" applyAlignment="1">
      <alignment vertical="top" wrapText="1"/>
    </xf>
    <xf numFmtId="0" fontId="12" fillId="2" borderId="24" xfId="0" applyNumberFormat="1" applyFont="1" applyFill="1" applyBorder="1" applyAlignment="1">
      <alignment vertical="center" wrapText="1"/>
    </xf>
    <xf numFmtId="173" fontId="12" fillId="2" borderId="25" xfId="0" applyNumberFormat="1" applyFont="1" applyFill="1" applyBorder="1" applyAlignment="1">
      <alignment vertical="center"/>
    </xf>
    <xf numFmtId="173" fontId="12" fillId="2" borderId="26" xfId="0" applyNumberFormat="1" applyFont="1" applyFill="1" applyBorder="1" applyAlignment="1">
      <alignment vertical="center"/>
    </xf>
    <xf numFmtId="173" fontId="12" fillId="2" borderId="27" xfId="0" applyNumberFormat="1" applyFont="1" applyFill="1" applyBorder="1" applyAlignment="1">
      <alignment vertical="center"/>
    </xf>
    <xf numFmtId="174" fontId="12" fillId="2" borderId="28" xfId="0" applyNumberFormat="1" applyFont="1" applyFill="1" applyBorder="1" applyAlignment="1">
      <alignment vertical="center" wrapText="1"/>
    </xf>
    <xf numFmtId="0" fontId="0" fillId="2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2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vertical="top" wrapText="1"/>
    </xf>
    <xf numFmtId="0" fontId="0" fillId="2" borderId="6" xfId="0" applyNumberFormat="1" applyFont="1" applyFill="1" applyBorder="1" applyAlignment="1">
      <alignment wrapText="1"/>
    </xf>
    <xf numFmtId="0" fontId="0" fillId="2" borderId="7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14" fillId="0" borderId="2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0" fontId="9" fillId="0" borderId="2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 wrapText="1"/>
    </xf>
    <xf numFmtId="0" fontId="0" fillId="0" borderId="8" xfId="0" applyNumberFormat="1" applyFont="1" applyFill="1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0" fontId="0" fillId="0" borderId="28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8" xfId="0" applyNumberFormat="1" applyFont="1" applyFill="1" applyBorder="1" applyAlignment="1">
      <alignment vertical="top" wrapText="1"/>
    </xf>
    <xf numFmtId="0" fontId="0" fillId="3" borderId="26" xfId="0" applyNumberFormat="1" applyFont="1" applyFill="1" applyBorder="1" applyAlignment="1">
      <alignment wrapText="1"/>
    </xf>
    <xf numFmtId="0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2" xfId="0" applyNumberFormat="1" applyFont="1" applyFill="1" applyBorder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/>
    </xf>
    <xf numFmtId="4" fontId="15" fillId="3" borderId="6" xfId="0" applyNumberFormat="1" applyFont="1" applyFill="1" applyBorder="1" applyAlignment="1">
      <alignment horizontal="left" wrapText="1"/>
    </xf>
    <xf numFmtId="0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/>
    </xf>
    <xf numFmtId="0" fontId="0" fillId="3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wrapText="1"/>
    </xf>
    <xf numFmtId="170" fontId="15" fillId="3" borderId="29" xfId="0" applyNumberFormat="1" applyFont="1" applyFill="1" applyBorder="1" applyAlignment="1">
      <alignment horizontal="left" wrapText="1"/>
    </xf>
    <xf numFmtId="0" fontId="0" fillId="3" borderId="3" xfId="0" applyNumberFormat="1" applyFont="1" applyFill="1" applyBorder="1" applyAlignment="1">
      <alignment vertical="top" wrapText="1"/>
    </xf>
    <xf numFmtId="0" fontId="9" fillId="3" borderId="4" xfId="0" applyNumberFormat="1" applyFon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left" wrapText="1"/>
    </xf>
    <xf numFmtId="4" fontId="0" fillId="3" borderId="1" xfId="0" applyNumberFormat="1" applyFont="1" applyFill="1" applyBorder="1" applyAlignment="1">
      <alignment horizontal="right" wrapText="1"/>
    </xf>
    <xf numFmtId="170" fontId="9" fillId="3" borderId="6" xfId="0" applyNumberFormat="1" applyFont="1" applyFill="1" applyBorder="1" applyAlignment="1">
      <alignment horizontal="right" wrapText="1"/>
    </xf>
    <xf numFmtId="170" fontId="9" fillId="3" borderId="2" xfId="0" applyNumberFormat="1" applyFont="1" applyFill="1" applyBorder="1" applyAlignment="1">
      <alignment horizontal="left" wrapText="1"/>
    </xf>
    <xf numFmtId="170" fontId="9" fillId="3" borderId="9" xfId="0" applyNumberFormat="1" applyFont="1" applyFill="1" applyBorder="1" applyAlignment="1">
      <alignment horizontal="right" wrapText="1"/>
    </xf>
    <xf numFmtId="170" fontId="9" fillId="2" borderId="2" xfId="0" applyNumberFormat="1" applyFont="1" applyFill="1" applyBorder="1" applyAlignment="1">
      <alignment horizontal="left" wrapText="1"/>
    </xf>
    <xf numFmtId="170" fontId="9" fillId="2" borderId="9" xfId="0" applyNumberFormat="1" applyFont="1" applyFill="1" applyBorder="1" applyAlignment="1">
      <alignment horizontal="right" wrapText="1"/>
    </xf>
    <xf numFmtId="0" fontId="0" fillId="3" borderId="6" xfId="0" applyNumberFormat="1" applyFont="1" applyFill="1" applyBorder="1" applyAlignment="1">
      <alignment vertical="top" wrapText="1"/>
    </xf>
    <xf numFmtId="0" fontId="0" fillId="3" borderId="28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3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9" fillId="3" borderId="2" xfId="0" applyNumberFormat="1" applyFont="1" applyFill="1" applyBorder="1" applyAlignment="1">
      <alignment horizontal="left" wrapText="1"/>
    </xf>
    <xf numFmtId="4" fontId="0" fillId="3" borderId="6" xfId="0" applyNumberFormat="1" applyFont="1" applyFill="1" applyBorder="1" applyAlignment="1">
      <alignment horizontal="left" wrapText="1"/>
    </xf>
    <xf numFmtId="4" fontId="0" fillId="3" borderId="4" xfId="0" applyNumberFormat="1" applyFont="1" applyFill="1" applyBorder="1" applyAlignment="1">
      <alignment horizontal="right" wrapText="1"/>
    </xf>
    <xf numFmtId="0" fontId="0" fillId="3" borderId="1" xfId="0" applyNumberFormat="1" applyFont="1" applyFill="1" applyBorder="1" applyAlignment="1">
      <alignment horizontal="left" wrapText="1" indent="2"/>
    </xf>
    <xf numFmtId="170" fontId="9" fillId="3" borderId="1" xfId="0" applyNumberFormat="1" applyFont="1" applyFill="1" applyBorder="1" applyAlignment="1">
      <alignment horizontal="right" wrapText="1"/>
    </xf>
    <xf numFmtId="4" fontId="0" fillId="3" borderId="4" xfId="0" applyNumberFormat="1" applyFont="1" applyFill="1" applyBorder="1" applyAlignment="1">
      <alignment wrapText="1"/>
    </xf>
    <xf numFmtId="4" fontId="0" fillId="3" borderId="2" xfId="0" applyNumberFormat="1" applyFont="1" applyFill="1" applyBorder="1" applyAlignment="1">
      <alignment horizontal="left" wrapText="1"/>
    </xf>
    <xf numFmtId="170" fontId="0" fillId="3" borderId="2" xfId="0" applyNumberFormat="1" applyFont="1" applyFill="1" applyBorder="1" applyAlignment="1">
      <alignment horizontal="left" wrapText="1"/>
    </xf>
    <xf numFmtId="4" fontId="0" fillId="3" borderId="30" xfId="0" applyNumberFormat="1" applyFont="1" applyFill="1" applyBorder="1" applyAlignment="1">
      <alignment horizontal="left" wrapText="1"/>
    </xf>
    <xf numFmtId="170" fontId="0" fillId="3" borderId="29" xfId="0" applyNumberFormat="1" applyFont="1" applyFill="1" applyBorder="1" applyAlignment="1">
      <alignment horizontal="left" wrapText="1"/>
    </xf>
    <xf numFmtId="170" fontId="9" fillId="3" borderId="31" xfId="0" applyNumberFormat="1" applyFont="1" applyFill="1" applyBorder="1" applyAlignment="1">
      <alignment horizontal="left" wrapText="1"/>
    </xf>
    <xf numFmtId="170" fontId="9" fillId="3" borderId="32" xfId="0" applyNumberFormat="1" applyFont="1" applyFill="1" applyBorder="1" applyAlignment="1">
      <alignment horizontal="right" wrapText="1"/>
    </xf>
    <xf numFmtId="0" fontId="0" fillId="3" borderId="33" xfId="0" applyNumberFormat="1" applyFont="1" applyFill="1" applyBorder="1" applyAlignment="1">
      <alignment vertical="top" wrapText="1"/>
    </xf>
    <xf numFmtId="170" fontId="9" fillId="3" borderId="34" xfId="0" applyNumberFormat="1" applyFont="1" applyFill="1" applyBorder="1" applyAlignment="1">
      <alignment horizontal="right" wrapText="1"/>
    </xf>
    <xf numFmtId="170" fontId="9" fillId="2" borderId="31" xfId="0" applyNumberFormat="1" applyFont="1" applyFill="1" applyBorder="1" applyAlignment="1">
      <alignment horizontal="left" wrapText="1"/>
    </xf>
    <xf numFmtId="170" fontId="9" fillId="2" borderId="34" xfId="0" applyNumberFormat="1" applyFont="1" applyFill="1" applyBorder="1" applyAlignment="1">
      <alignment horizontal="right" wrapText="1"/>
    </xf>
    <xf numFmtId="170" fontId="15" fillId="3" borderId="35" xfId="0" applyNumberFormat="1" applyFont="1" applyFill="1" applyBorder="1" applyAlignment="1">
      <alignment horizontal="left" wrapText="1"/>
    </xf>
    <xf numFmtId="0" fontId="0" fillId="3" borderId="36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horizontal="left" vertical="top" wrapText="1" indent="2"/>
    </xf>
    <xf numFmtId="0" fontId="9" fillId="3" borderId="1" xfId="0" applyNumberFormat="1" applyFont="1" applyFill="1" applyBorder="1" applyAlignment="1">
      <alignment horizontal="left" wrapText="1" indent="2"/>
    </xf>
    <xf numFmtId="0" fontId="9" fillId="3" borderId="37" xfId="0" applyNumberFormat="1" applyFont="1" applyFill="1" applyBorder="1" applyAlignment="1">
      <alignment vertical="top"/>
    </xf>
    <xf numFmtId="0" fontId="9" fillId="3" borderId="38" xfId="0" applyNumberFormat="1" applyFont="1" applyFill="1" applyBorder="1" applyAlignment="1">
      <alignment vertical="top"/>
    </xf>
    <xf numFmtId="171" fontId="9" fillId="3" borderId="38" xfId="0" applyNumberFormat="1" applyFont="1" applyFill="1" applyBorder="1" applyAlignment="1">
      <alignment vertical="top"/>
    </xf>
    <xf numFmtId="8" fontId="9" fillId="3" borderId="38" xfId="0" applyNumberFormat="1" applyFont="1" applyFill="1" applyBorder="1" applyAlignment="1">
      <alignment vertical="top"/>
    </xf>
    <xf numFmtId="0" fontId="9" fillId="3" borderId="39" xfId="0" applyNumberFormat="1" applyFont="1" applyFill="1" applyBorder="1" applyAlignment="1">
      <alignment vertical="top"/>
    </xf>
    <xf numFmtId="0" fontId="9" fillId="2" borderId="2" xfId="0" applyNumberFormat="1" applyFont="1" applyFill="1" applyBorder="1" applyAlignment="1">
      <alignment vertical="top"/>
    </xf>
    <xf numFmtId="0" fontId="9" fillId="2" borderId="1" xfId="0" applyNumberFormat="1" applyFont="1" applyFill="1" applyBorder="1" applyAlignment="1">
      <alignment vertical="top"/>
    </xf>
    <xf numFmtId="0" fontId="9" fillId="3" borderId="2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vertical="top"/>
    </xf>
    <xf numFmtId="6" fontId="9" fillId="3" borderId="1" xfId="0" applyNumberFormat="1" applyFont="1" applyFill="1" applyBorder="1" applyAlignment="1">
      <alignment vertical="top"/>
    </xf>
    <xf numFmtId="171" fontId="9" fillId="3" borderId="1" xfId="0" applyNumberFormat="1" applyFont="1" applyFill="1" applyBorder="1" applyAlignment="1">
      <alignment vertical="top"/>
    </xf>
    <xf numFmtId="0" fontId="9" fillId="3" borderId="3" xfId="0" applyNumberFormat="1" applyFont="1" applyFill="1" applyBorder="1" applyAlignment="1">
      <alignment vertical="top"/>
    </xf>
    <xf numFmtId="0" fontId="0" fillId="3" borderId="2" xfId="0" applyNumberFormat="1" applyFont="1" applyFill="1" applyBorder="1" applyAlignment="1">
      <alignment vertical="top"/>
    </xf>
    <xf numFmtId="171" fontId="0" fillId="3" borderId="1" xfId="0" applyNumberFormat="1" applyFont="1" applyFill="1" applyBorder="1" applyAlignment="1">
      <alignment vertical="top"/>
    </xf>
    <xf numFmtId="1" fontId="0" fillId="3" borderId="1" xfId="0" applyNumberFormat="1" applyFont="1" applyFill="1" applyBorder="1" applyAlignment="1">
      <alignment vertical="top"/>
    </xf>
    <xf numFmtId="10" fontId="0" fillId="3" borderId="3" xfId="0" applyNumberFormat="1" applyFont="1" applyFill="1" applyBorder="1" applyAlignment="1">
      <alignment vertical="top"/>
    </xf>
    <xf numFmtId="8" fontId="0" fillId="3" borderId="2" xfId="0" applyNumberFormat="1" applyFont="1" applyFill="1" applyBorder="1" applyAlignment="1">
      <alignment vertical="top"/>
    </xf>
    <xf numFmtId="0" fontId="0" fillId="3" borderId="1" xfId="0" applyNumberFormat="1" applyFont="1" applyFill="1" applyBorder="1" applyAlignment="1">
      <alignment vertical="top"/>
    </xf>
    <xf numFmtId="0" fontId="0" fillId="3" borderId="3" xfId="0" applyNumberFormat="1" applyFont="1" applyFill="1" applyBorder="1" applyAlignment="1">
      <alignment vertical="top"/>
    </xf>
    <xf numFmtId="0" fontId="9" fillId="2" borderId="0" xfId="0" applyNumberFormat="1" applyFont="1" applyFill="1" applyAlignment="1">
      <alignment vertical="top"/>
    </xf>
    <xf numFmtId="10" fontId="9" fillId="2" borderId="3" xfId="0" applyNumberFormat="1" applyFont="1" applyFill="1" applyBorder="1" applyAlignment="1">
      <alignment vertical="top"/>
    </xf>
    <xf numFmtId="0" fontId="9" fillId="3" borderId="0" xfId="0" applyNumberFormat="1" applyFont="1" applyFill="1" applyAlignment="1">
      <alignment vertical="top"/>
    </xf>
    <xf numFmtId="0" fontId="9" fillId="3" borderId="0" xfId="0" applyFont="1" applyFill="1" applyAlignment="1">
      <alignment/>
    </xf>
    <xf numFmtId="10" fontId="9" fillId="3" borderId="1" xfId="0" applyNumberFormat="1" applyFont="1" applyFill="1" applyBorder="1" applyAlignment="1">
      <alignment vertical="top"/>
    </xf>
    <xf numFmtId="0" fontId="0" fillId="3" borderId="0" xfId="0" applyNumberFormat="1" applyFont="1" applyFill="1" applyAlignment="1">
      <alignment vertical="top"/>
    </xf>
    <xf numFmtId="0" fontId="0" fillId="3" borderId="37" xfId="0" applyNumberFormat="1" applyFont="1" applyFill="1" applyBorder="1" applyAlignment="1">
      <alignment vertical="top" wrapText="1"/>
    </xf>
    <xf numFmtId="0" fontId="0" fillId="3" borderId="38" xfId="0" applyNumberFormat="1" applyFont="1" applyFill="1" applyBorder="1" applyAlignment="1">
      <alignment vertical="top" wrapText="1"/>
    </xf>
    <xf numFmtId="0" fontId="9" fillId="3" borderId="38" xfId="0" applyNumberFormat="1" applyFont="1" applyFill="1" applyBorder="1" applyAlignment="1">
      <alignment vertical="top" wrapText="1"/>
    </xf>
    <xf numFmtId="0" fontId="0" fillId="3" borderId="39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/>
    </xf>
    <xf numFmtId="0" fontId="9" fillId="3" borderId="3" xfId="0" applyNumberFormat="1" applyFont="1" applyFill="1" applyBorder="1" applyAlignment="1">
      <alignment vertical="top" wrapText="1"/>
    </xf>
    <xf numFmtId="8" fontId="0" fillId="3" borderId="1" xfId="0" applyNumberFormat="1" applyFont="1" applyFill="1" applyBorder="1" applyAlignment="1">
      <alignment vertical="top" wrapText="1"/>
    </xf>
    <xf numFmtId="9" fontId="0" fillId="3" borderId="1" xfId="0" applyNumberFormat="1" applyFont="1" applyFill="1" applyBorder="1" applyAlignment="1">
      <alignment vertical="top" wrapText="1"/>
    </xf>
    <xf numFmtId="8" fontId="0" fillId="3" borderId="3" xfId="0" applyNumberFormat="1" applyFont="1" applyFill="1" applyBorder="1" applyAlignment="1">
      <alignment vertical="top" wrapText="1"/>
    </xf>
    <xf numFmtId="8" fontId="0" fillId="3" borderId="2" xfId="0" applyNumberFormat="1" applyFont="1" applyFill="1" applyBorder="1" applyAlignment="1">
      <alignment vertical="top" wrapText="1"/>
    </xf>
    <xf numFmtId="0" fontId="9" fillId="3" borderId="0" xfId="0" applyNumberFormat="1" applyFont="1" applyFill="1" applyAlignment="1">
      <alignment vertical="top" wrapText="1"/>
    </xf>
    <xf numFmtId="0" fontId="0" fillId="3" borderId="8" xfId="0" applyNumberFormat="1" applyFont="1" applyFill="1" applyBorder="1" applyAlignment="1">
      <alignment vertical="top" wrapText="1"/>
    </xf>
    <xf numFmtId="0" fontId="0" fillId="3" borderId="26" xfId="0" applyNumberFormat="1" applyFont="1" applyFill="1" applyBorder="1" applyAlignment="1">
      <alignment vertical="top" wrapText="1"/>
    </xf>
    <xf numFmtId="0" fontId="0" fillId="3" borderId="28" xfId="0" applyNumberFormat="1" applyFont="1" applyFill="1" applyBorder="1" applyAlignment="1">
      <alignment vertical="top" wrapText="1"/>
    </xf>
    <xf numFmtId="0" fontId="0" fillId="3" borderId="30" xfId="0" applyNumberFormat="1" applyFont="1" applyFill="1" applyBorder="1" applyAlignment="1">
      <alignment vertical="top" wrapText="1"/>
    </xf>
    <xf numFmtId="8" fontId="0" fillId="3" borderId="40" xfId="0" applyNumberFormat="1" applyFont="1" applyFill="1" applyBorder="1" applyAlignment="1">
      <alignment vertical="top" wrapText="1"/>
    </xf>
    <xf numFmtId="0" fontId="0" fillId="3" borderId="40" xfId="0" applyNumberFormat="1" applyFont="1" applyFill="1" applyBorder="1" applyAlignment="1">
      <alignment vertical="top" wrapText="1"/>
    </xf>
    <xf numFmtId="8" fontId="0" fillId="3" borderId="41" xfId="0" applyNumberFormat="1" applyFont="1" applyFill="1" applyBorder="1" applyAlignment="1">
      <alignment vertical="top" wrapText="1"/>
    </xf>
    <xf numFmtId="0" fontId="0" fillId="3" borderId="29" xfId="0" applyNumberFormat="1" applyFont="1" applyFill="1" applyBorder="1" applyAlignment="1">
      <alignment vertical="top" wrapText="1"/>
    </xf>
    <xf numFmtId="0" fontId="0" fillId="3" borderId="42" xfId="0" applyNumberFormat="1" applyFont="1" applyFill="1" applyBorder="1" applyAlignment="1">
      <alignment vertical="top" wrapText="1"/>
    </xf>
    <xf numFmtId="0" fontId="9" fillId="2" borderId="31" xfId="0" applyNumberFormat="1" applyFont="1" applyFill="1" applyBorder="1" applyAlignment="1">
      <alignment vertical="top" wrapText="1"/>
    </xf>
    <xf numFmtId="8" fontId="9" fillId="2" borderId="34" xfId="0" applyNumberFormat="1" applyFont="1" applyFill="1" applyBorder="1" applyAlignment="1">
      <alignment vertical="top" wrapText="1"/>
    </xf>
    <xf numFmtId="0" fontId="9" fillId="2" borderId="34" xfId="0" applyNumberFormat="1" applyFont="1" applyFill="1" applyBorder="1" applyAlignment="1">
      <alignment vertical="top" wrapText="1"/>
    </xf>
    <xf numFmtId="8" fontId="9" fillId="2" borderId="43" xfId="0" applyNumberFormat="1" applyFont="1" applyFill="1" applyBorder="1" applyAlignment="1">
      <alignment vertical="top" wrapText="1"/>
    </xf>
    <xf numFmtId="0" fontId="9" fillId="2" borderId="44" xfId="0" applyNumberFormat="1" applyFont="1" applyFill="1" applyBorder="1" applyAlignment="1">
      <alignment vertical="top" wrapText="1"/>
    </xf>
    <xf numFmtId="0" fontId="17" fillId="3" borderId="2" xfId="0" applyNumberFormat="1" applyFont="1" applyFill="1" applyBorder="1" applyAlignment="1">
      <alignment vertical="top" wrapText="1"/>
    </xf>
    <xf numFmtId="8" fontId="17" fillId="3" borderId="1" xfId="0" applyNumberFormat="1" applyFont="1" applyFill="1" applyBorder="1" applyAlignment="1">
      <alignment vertical="top" wrapText="1"/>
    </xf>
    <xf numFmtId="0" fontId="17" fillId="3" borderId="1" xfId="0" applyNumberFormat="1" applyFont="1" applyFill="1" applyBorder="1" applyAlignment="1">
      <alignment vertical="top" wrapText="1"/>
    </xf>
    <xf numFmtId="8" fontId="17" fillId="3" borderId="3" xfId="0" applyNumberFormat="1" applyFont="1" applyFill="1" applyBorder="1" applyAlignment="1">
      <alignment vertical="top" wrapText="1"/>
    </xf>
    <xf numFmtId="0" fontId="17" fillId="3" borderId="0" xfId="0" applyNumberFormat="1" applyFont="1" applyFill="1" applyAlignment="1">
      <alignment vertical="top" wrapText="1"/>
    </xf>
    <xf numFmtId="8" fontId="0" fillId="3" borderId="40" xfId="0" applyNumberFormat="1" applyFont="1" applyFill="1" applyBorder="1" applyAlignment="1">
      <alignment vertical="top"/>
    </xf>
    <xf numFmtId="0" fontId="0" fillId="3" borderId="40" xfId="0" applyNumberFormat="1" applyFont="1" applyFill="1" applyBorder="1" applyAlignment="1">
      <alignment vertical="top"/>
    </xf>
    <xf numFmtId="171" fontId="0" fillId="3" borderId="40" xfId="0" applyNumberFormat="1" applyFont="1" applyFill="1" applyBorder="1" applyAlignment="1">
      <alignment vertical="top"/>
    </xf>
    <xf numFmtId="0" fontId="0" fillId="3" borderId="29" xfId="0" applyNumberFormat="1" applyFont="1" applyFill="1" applyBorder="1" applyAlignment="1">
      <alignment vertical="top"/>
    </xf>
    <xf numFmtId="0" fontId="0" fillId="3" borderId="33" xfId="0" applyNumberFormat="1" applyFont="1" applyFill="1" applyBorder="1" applyAlignment="1">
      <alignment vertical="top"/>
    </xf>
    <xf numFmtId="0" fontId="0" fillId="3" borderId="30" xfId="0" applyNumberFormat="1" applyFont="1" applyFill="1" applyBorder="1" applyAlignment="1">
      <alignment vertical="top"/>
    </xf>
    <xf numFmtId="0" fontId="0" fillId="3" borderId="41" xfId="0" applyNumberFormat="1" applyFont="1" applyFill="1" applyBorder="1" applyAlignment="1">
      <alignment vertical="top"/>
    </xf>
    <xf numFmtId="0" fontId="0" fillId="3" borderId="42" xfId="0" applyNumberFormat="1" applyFont="1" applyFill="1" applyBorder="1" applyAlignment="1">
      <alignment vertical="top"/>
    </xf>
    <xf numFmtId="0" fontId="9" fillId="2" borderId="31" xfId="0" applyNumberFormat="1" applyFont="1" applyFill="1" applyBorder="1" applyAlignment="1">
      <alignment vertical="top"/>
    </xf>
    <xf numFmtId="8" fontId="9" fillId="2" borderId="34" xfId="0" applyNumberFormat="1" applyFont="1" applyFill="1" applyBorder="1" applyAlignment="1">
      <alignment vertical="top"/>
    </xf>
    <xf numFmtId="0" fontId="9" fillId="2" borderId="34" xfId="0" applyNumberFormat="1" applyFont="1" applyFill="1" applyBorder="1" applyAlignment="1">
      <alignment vertical="top"/>
    </xf>
    <xf numFmtId="10" fontId="9" fillId="2" borderId="43" xfId="0" applyNumberFormat="1" applyFont="1" applyFill="1" applyBorder="1" applyAlignment="1">
      <alignment vertical="top"/>
    </xf>
    <xf numFmtId="0" fontId="9" fillId="2" borderId="44" xfId="0" applyNumberFormat="1" applyFont="1" applyFill="1" applyBorder="1" applyAlignment="1">
      <alignment vertical="top"/>
    </xf>
    <xf numFmtId="0" fontId="9" fillId="2" borderId="44" xfId="0" applyFont="1" applyFill="1" applyBorder="1" applyAlignment="1">
      <alignment/>
    </xf>
    <xf numFmtId="0" fontId="9" fillId="3" borderId="30" xfId="0" applyNumberFormat="1" applyFont="1" applyFill="1" applyBorder="1" applyAlignment="1">
      <alignment horizontal="left" wrapText="1"/>
    </xf>
    <xf numFmtId="4" fontId="0" fillId="3" borderId="32" xfId="0" applyNumberFormat="1" applyFont="1" applyFill="1" applyBorder="1" applyAlignment="1">
      <alignment horizontal="left" wrapText="1"/>
    </xf>
    <xf numFmtId="4" fontId="9" fillId="2" borderId="31" xfId="0" applyNumberFormat="1" applyFont="1" applyFill="1" applyBorder="1" applyAlignment="1">
      <alignment horizontal="left" wrapText="1"/>
    </xf>
    <xf numFmtId="4" fontId="9" fillId="2" borderId="34" xfId="0" applyNumberFormat="1" applyFont="1" applyFill="1" applyBorder="1" applyAlignment="1">
      <alignment horizontal="right" wrapText="1"/>
    </xf>
    <xf numFmtId="4" fontId="0" fillId="3" borderId="29" xfId="0" applyNumberFormat="1" applyFont="1" applyFill="1" applyBorder="1" applyAlignment="1">
      <alignment horizontal="left" wrapText="1"/>
    </xf>
    <xf numFmtId="4" fontId="0" fillId="3" borderId="33" xfId="0" applyNumberFormat="1" applyFont="1" applyFill="1" applyBorder="1" applyAlignment="1">
      <alignment horizontal="left" wrapText="1"/>
    </xf>
    <xf numFmtId="4" fontId="0" fillId="3" borderId="2" xfId="0" applyNumberFormat="1" applyFont="1" applyFill="1" applyBorder="1" applyAlignment="1">
      <alignment horizontal="left" wrapText="1"/>
    </xf>
    <xf numFmtId="170" fontId="0" fillId="3" borderId="30" xfId="0" applyNumberFormat="1" applyFont="1" applyFill="1" applyBorder="1" applyAlignment="1">
      <alignment horizontal="left" wrapText="1"/>
    </xf>
    <xf numFmtId="4" fontId="9" fillId="3" borderId="31" xfId="0" applyNumberFormat="1" applyFont="1" applyFill="1" applyBorder="1" applyAlignment="1">
      <alignment horizontal="left" wrapText="1"/>
    </xf>
    <xf numFmtId="170" fontId="0" fillId="3" borderId="2" xfId="0" applyNumberFormat="1" applyFont="1" applyFill="1" applyBorder="1" applyAlignment="1">
      <alignment horizontal="left" wrapText="1"/>
    </xf>
    <xf numFmtId="4" fontId="0" fillId="3" borderId="30" xfId="0" applyNumberFormat="1" applyFont="1" applyFill="1" applyBorder="1" applyAlignment="1">
      <alignment horizontal="left" wrapText="1"/>
    </xf>
    <xf numFmtId="4" fontId="0" fillId="3" borderId="45" xfId="0" applyNumberFormat="1" applyFont="1" applyFill="1" applyBorder="1" applyAlignment="1">
      <alignment horizontal="left" wrapText="1"/>
    </xf>
    <xf numFmtId="4" fontId="9" fillId="3" borderId="6" xfId="0" applyNumberFormat="1" applyFont="1" applyFill="1" applyBorder="1" applyAlignment="1">
      <alignment horizontal="right" wrapText="1"/>
    </xf>
    <xf numFmtId="170" fontId="0" fillId="3" borderId="46" xfId="0" applyNumberFormat="1" applyFont="1" applyFill="1" applyBorder="1" applyAlignment="1">
      <alignment horizontal="left" wrapText="1"/>
    </xf>
    <xf numFmtId="4" fontId="9" fillId="3" borderId="32" xfId="0" applyNumberFormat="1" applyFont="1" applyFill="1" applyBorder="1" applyAlignment="1">
      <alignment horizontal="right" wrapText="1"/>
    </xf>
    <xf numFmtId="170" fontId="0" fillId="3" borderId="29" xfId="0" applyNumberFormat="1" applyFont="1" applyFill="1" applyBorder="1" applyAlignment="1">
      <alignment horizontal="left" wrapText="1"/>
    </xf>
    <xf numFmtId="170" fontId="9" fillId="3" borderId="33" xfId="0" applyNumberFormat="1" applyFont="1" applyFill="1" applyBorder="1" applyAlignment="1">
      <alignment horizontal="right" wrapText="1"/>
    </xf>
    <xf numFmtId="170" fontId="9" fillId="3" borderId="34" xfId="0" applyNumberFormat="1" applyFont="1" applyFill="1" applyBorder="1" applyAlignment="1">
      <alignment wrapText="1"/>
    </xf>
    <xf numFmtId="170" fontId="0" fillId="3" borderId="47" xfId="0" applyNumberFormat="1" applyFont="1" applyFill="1" applyBorder="1" applyAlignment="1">
      <alignment horizontal="left" wrapText="1"/>
    </xf>
    <xf numFmtId="170" fontId="9" fillId="3" borderId="48" xfId="0" applyNumberFormat="1" applyFont="1" applyFill="1" applyBorder="1" applyAlignment="1">
      <alignment wrapText="1"/>
    </xf>
    <xf numFmtId="170" fontId="9" fillId="3" borderId="49" xfId="0" applyNumberFormat="1" applyFont="1" applyFill="1" applyBorder="1" applyAlignment="1">
      <alignment horizontal="right" wrapText="1"/>
    </xf>
    <xf numFmtId="0" fontId="0" fillId="3" borderId="50" xfId="0" applyNumberFormat="1" applyFont="1" applyFill="1" applyBorder="1" applyAlignment="1">
      <alignment vertical="top" wrapText="1"/>
    </xf>
    <xf numFmtId="173" fontId="0" fillId="3" borderId="51" xfId="0" applyNumberFormat="1" applyFont="1" applyFill="1" applyBorder="1" applyAlignment="1">
      <alignment vertical="top"/>
    </xf>
    <xf numFmtId="173" fontId="0" fillId="3" borderId="40" xfId="0" applyNumberFormat="1" applyFont="1" applyFill="1" applyBorder="1" applyAlignment="1">
      <alignment vertical="top"/>
    </xf>
    <xf numFmtId="173" fontId="0" fillId="3" borderId="52" xfId="0" applyNumberFormat="1" applyFont="1" applyFill="1" applyBorder="1" applyAlignment="1">
      <alignment vertical="top"/>
    </xf>
    <xf numFmtId="171" fontId="0" fillId="3" borderId="41" xfId="0" applyNumberFormat="1" applyFont="1" applyFill="1" applyBorder="1" applyAlignment="1">
      <alignment vertical="top" wrapText="1"/>
    </xf>
    <xf numFmtId="0" fontId="13" fillId="3" borderId="53" xfId="0" applyNumberFormat="1" applyFont="1" applyFill="1" applyBorder="1" applyAlignment="1">
      <alignment vertical="top" wrapText="1"/>
    </xf>
    <xf numFmtId="173" fontId="0" fillId="3" borderId="54" xfId="0" applyNumberFormat="1" applyFont="1" applyFill="1" applyBorder="1" applyAlignment="1">
      <alignment vertical="top"/>
    </xf>
    <xf numFmtId="173" fontId="0" fillId="3" borderId="55" xfId="0" applyNumberFormat="1" applyFont="1" applyFill="1" applyBorder="1" applyAlignment="1">
      <alignment vertical="top"/>
    </xf>
    <xf numFmtId="173" fontId="0" fillId="3" borderId="56" xfId="0" applyNumberFormat="1" applyFont="1" applyFill="1" applyBorder="1" applyAlignment="1">
      <alignment vertical="top"/>
    </xf>
    <xf numFmtId="171" fontId="0" fillId="3" borderId="57" xfId="0" applyNumberFormat="1" applyFont="1" applyFill="1" applyBorder="1" applyAlignment="1">
      <alignment vertical="top" wrapText="1"/>
    </xf>
    <xf numFmtId="0" fontId="13" fillId="2" borderId="58" xfId="0" applyNumberFormat="1" applyFont="1" applyFill="1" applyBorder="1" applyAlignment="1">
      <alignment vertical="top" wrapText="1"/>
    </xf>
    <xf numFmtId="173" fontId="13" fillId="2" borderId="59" xfId="0" applyNumberFormat="1" applyFont="1" applyFill="1" applyBorder="1" applyAlignment="1">
      <alignment vertical="top"/>
    </xf>
    <xf numFmtId="173" fontId="13" fillId="2" borderId="34" xfId="0" applyNumberFormat="1" applyFont="1" applyFill="1" applyBorder="1" applyAlignment="1">
      <alignment vertical="top"/>
    </xf>
    <xf numFmtId="173" fontId="13" fillId="2" borderId="60" xfId="0" applyNumberFormat="1" applyFont="1" applyFill="1" applyBorder="1" applyAlignment="1">
      <alignment vertical="top"/>
    </xf>
    <xf numFmtId="0" fontId="0" fillId="3" borderId="61" xfId="0" applyNumberFormat="1" applyFont="1" applyFill="1" applyBorder="1" applyAlignment="1">
      <alignment vertical="top" wrapText="1"/>
    </xf>
    <xf numFmtId="173" fontId="0" fillId="3" borderId="62" xfId="0" applyNumberFormat="1" applyFont="1" applyFill="1" applyBorder="1" applyAlignment="1">
      <alignment vertical="top"/>
    </xf>
    <xf numFmtId="173" fontId="0" fillId="3" borderId="33" xfId="0" applyNumberFormat="1" applyFont="1" applyFill="1" applyBorder="1" applyAlignment="1">
      <alignment vertical="top"/>
    </xf>
    <xf numFmtId="173" fontId="0" fillId="3" borderId="63" xfId="0" applyNumberFormat="1" applyFont="1" applyFill="1" applyBorder="1" applyAlignment="1">
      <alignment vertical="top"/>
    </xf>
    <xf numFmtId="173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 wrapText="1"/>
    </xf>
    <xf numFmtId="0" fontId="0" fillId="2" borderId="0" xfId="0" applyNumberFormat="1" applyFont="1" applyFill="1" applyBorder="1" applyAlignment="1">
      <alignment vertical="top" wrapText="1"/>
    </xf>
    <xf numFmtId="0" fontId="13" fillId="2" borderId="44" xfId="0" applyNumberFormat="1" applyFont="1" applyFill="1" applyBorder="1" applyAlignment="1">
      <alignment vertical="top" wrapText="1"/>
    </xf>
    <xf numFmtId="173" fontId="13" fillId="2" borderId="44" xfId="0" applyNumberFormat="1" applyFont="1" applyFill="1" applyBorder="1" applyAlignment="1">
      <alignment vertical="top"/>
    </xf>
    <xf numFmtId="170" fontId="0" fillId="3" borderId="6" xfId="0" applyNumberFormat="1" applyFont="1" applyFill="1" applyBorder="1" applyAlignment="1">
      <alignment horizontal="right" wrapText="1"/>
    </xf>
    <xf numFmtId="170" fontId="0" fillId="3" borderId="32" xfId="0" applyNumberFormat="1" applyFont="1" applyFill="1" applyBorder="1" applyAlignment="1">
      <alignment horizontal="right" wrapText="1"/>
    </xf>
    <xf numFmtId="0" fontId="2" fillId="3" borderId="37" xfId="0" applyNumberFormat="1" applyFont="1" applyFill="1" applyBorder="1" applyAlignment="1">
      <alignment horizontal="center" wrapText="1"/>
    </xf>
    <xf numFmtId="0" fontId="2" fillId="3" borderId="38" xfId="0" applyNumberFormat="1" applyFont="1" applyFill="1" applyBorder="1" applyAlignment="1">
      <alignment horizontal="center" wrapText="1"/>
    </xf>
    <xf numFmtId="0" fontId="2" fillId="3" borderId="39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3" fillId="3" borderId="2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 wrapText="1"/>
    </xf>
    <xf numFmtId="0" fontId="9" fillId="2" borderId="2" xfId="0" applyNumberFormat="1" applyFont="1" applyFill="1" applyBorder="1" applyAlignment="1">
      <alignment wrapText="1"/>
    </xf>
    <xf numFmtId="0" fontId="9" fillId="2" borderId="1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12" fillId="0" borderId="2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wrapText="1"/>
    </xf>
    <xf numFmtId="0" fontId="12" fillId="3" borderId="2" xfId="0" applyNumberFormat="1" applyFont="1" applyFill="1" applyBorder="1" applyAlignment="1">
      <alignment horizontal="center" wrapText="1"/>
    </xf>
    <xf numFmtId="0" fontId="12" fillId="3" borderId="1" xfId="0" applyNumberFormat="1" applyFont="1" applyFill="1" applyBorder="1" applyAlignment="1">
      <alignment horizontal="center" wrapText="1"/>
    </xf>
    <xf numFmtId="0" fontId="9" fillId="3" borderId="2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0" fontId="16" fillId="3" borderId="1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i/>
        <color rgb="FFA408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FFFFFF"/>
      <rgbColor rgb="004A72A9"/>
      <rgbColor rgb="00A8BFD4"/>
      <rgbColor rgb="00EEF3F4"/>
      <rgbColor rgb="00000000"/>
      <rgbColor rgb="00CCFFCC"/>
      <rgbColor rgb="00FFCC00"/>
      <rgbColor rgb="004A72AA"/>
      <rgbColor rgb="00A40800"/>
      <rgbColor rgb="00C6D8EC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E37" sqref="E37"/>
    </sheetView>
  </sheetViews>
  <sheetFormatPr defaultColWidth="10.296875" defaultRowHeight="19.5" customHeight="1"/>
  <cols>
    <col min="1" max="7" width="7.59765625" style="1" customWidth="1"/>
    <col min="8" max="16384" width="10.296875" style="1" customWidth="1"/>
  </cols>
  <sheetData>
    <row r="1" spans="1:7" ht="18">
      <c r="A1" s="302" t="s">
        <v>183</v>
      </c>
      <c r="B1" s="303"/>
      <c r="C1" s="303"/>
      <c r="D1" s="303"/>
      <c r="E1" s="303"/>
      <c r="F1" s="303"/>
      <c r="G1" s="304"/>
    </row>
    <row r="2" spans="1:7" ht="18">
      <c r="A2" s="305" t="s">
        <v>184</v>
      </c>
      <c r="B2" s="306"/>
      <c r="C2" s="306"/>
      <c r="D2" s="306"/>
      <c r="E2" s="306"/>
      <c r="F2" s="306"/>
      <c r="G2" s="307"/>
    </row>
    <row r="3" spans="1:7" ht="13.5">
      <c r="A3" s="308" t="s">
        <v>185</v>
      </c>
      <c r="B3" s="309"/>
      <c r="C3" s="309"/>
      <c r="D3" s="309"/>
      <c r="E3" s="309"/>
      <c r="F3" s="309"/>
      <c r="G3" s="310"/>
    </row>
    <row r="4" spans="1:7" ht="12.75">
      <c r="A4" s="3"/>
      <c r="B4" s="2"/>
      <c r="C4" s="2"/>
      <c r="D4" s="2"/>
      <c r="E4" s="2"/>
      <c r="F4" s="2"/>
      <c r="G4" s="4"/>
    </row>
    <row r="5" spans="1:7" ht="24">
      <c r="A5" s="5"/>
      <c r="B5" s="6" t="s">
        <v>186</v>
      </c>
      <c r="C5" s="6" t="s">
        <v>187</v>
      </c>
      <c r="D5" s="6" t="s">
        <v>188</v>
      </c>
      <c r="E5" s="6" t="s">
        <v>189</v>
      </c>
      <c r="F5" s="6" t="s">
        <v>190</v>
      </c>
      <c r="G5" s="7" t="s">
        <v>191</v>
      </c>
    </row>
    <row r="6" spans="1:7" ht="12.75">
      <c r="A6" s="8" t="s">
        <v>192</v>
      </c>
      <c r="B6" s="9"/>
      <c r="C6" s="10">
        <f>7500</f>
        <v>7500</v>
      </c>
      <c r="D6" s="10"/>
      <c r="E6" s="10"/>
      <c r="F6" s="10"/>
      <c r="G6" s="11">
        <f aca="true" t="shared" si="0" ref="G6:G12">((((B6)+C6)+D6)+E6)+F6</f>
        <v>7500</v>
      </c>
    </row>
    <row r="7" spans="1:7" ht="12.75">
      <c r="A7" s="12" t="s">
        <v>193</v>
      </c>
      <c r="B7" s="13"/>
      <c r="C7" s="13"/>
      <c r="D7" s="13"/>
      <c r="E7" s="13"/>
      <c r="F7" s="14">
        <v>150</v>
      </c>
      <c r="G7" s="15">
        <f t="shared" si="0"/>
        <v>150</v>
      </c>
    </row>
    <row r="8" spans="1:7" ht="12.75">
      <c r="A8" s="16" t="s">
        <v>194</v>
      </c>
      <c r="B8" s="17"/>
      <c r="C8" s="18">
        <f>9500</f>
        <v>9500</v>
      </c>
      <c r="D8" s="18"/>
      <c r="E8" s="18">
        <f>500</f>
        <v>500</v>
      </c>
      <c r="F8" s="18"/>
      <c r="G8" s="19">
        <f t="shared" si="0"/>
        <v>10000</v>
      </c>
    </row>
    <row r="9" spans="1:7" ht="12.75">
      <c r="A9" s="12" t="s">
        <v>195</v>
      </c>
      <c r="B9" s="14">
        <f>5000</f>
        <v>5000</v>
      </c>
      <c r="C9" s="14"/>
      <c r="D9" s="14"/>
      <c r="E9" s="14"/>
      <c r="F9" s="14"/>
      <c r="G9" s="15">
        <f t="shared" si="0"/>
        <v>5000</v>
      </c>
    </row>
    <row r="10" spans="1:7" ht="12.75">
      <c r="A10" s="16" t="s">
        <v>196</v>
      </c>
      <c r="B10" s="17"/>
      <c r="C10" s="18">
        <f>6000</f>
        <v>6000</v>
      </c>
      <c r="D10" s="18"/>
      <c r="E10" s="18"/>
      <c r="F10" s="18"/>
      <c r="G10" s="19">
        <f t="shared" si="0"/>
        <v>6000</v>
      </c>
    </row>
    <row r="11" spans="1:7" ht="12.75">
      <c r="A11" s="12" t="s">
        <v>197</v>
      </c>
      <c r="B11" s="20">
        <v>10000</v>
      </c>
      <c r="C11" s="20"/>
      <c r="D11" s="20"/>
      <c r="E11" s="20"/>
      <c r="F11" s="20"/>
      <c r="G11" s="21">
        <f t="shared" si="0"/>
        <v>10000</v>
      </c>
    </row>
    <row r="12" spans="1:7" ht="12.75">
      <c r="A12" s="22" t="s">
        <v>198</v>
      </c>
      <c r="B12" s="23">
        <f>((((B6)+B7)+B8)+B9)+B10+B11</f>
        <v>15000</v>
      </c>
      <c r="C12" s="23">
        <f>((((C6)+C7)+C8)+C9)+C10</f>
        <v>23000</v>
      </c>
      <c r="D12" s="23">
        <f>((((D6)+D7)+D8)+D9)+D10</f>
        <v>0</v>
      </c>
      <c r="E12" s="23">
        <f>((((E6)+E7)+E8)+E9)+E10</f>
        <v>500</v>
      </c>
      <c r="F12" s="23">
        <f>((((F6)+F7)+F8)+F9)+F10</f>
        <v>150</v>
      </c>
      <c r="G12" s="24">
        <f t="shared" si="0"/>
        <v>38650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0"/>
  <sheetViews>
    <sheetView showGridLines="0" tabSelected="1" zoomScale="150" zoomScaleNormal="150" workbookViewId="0" topLeftCell="A1">
      <pane ySplit="1" topLeftCell="BM2" activePane="bottomLeft" state="frozen"/>
      <selection pane="topLeft" activeCell="A1" sqref="A1"/>
      <selection pane="bottomLeft" activeCell="A25" sqref="A25"/>
    </sheetView>
  </sheetViews>
  <sheetFormatPr defaultColWidth="10.296875" defaultRowHeight="19.5" customHeight="1"/>
  <cols>
    <col min="1" max="1" width="26.09765625" style="39" customWidth="1"/>
    <col min="2" max="7" width="12.3984375" style="39" customWidth="1"/>
    <col min="8" max="54" width="12.3984375" style="39" hidden="1" customWidth="1"/>
    <col min="55" max="55" width="14.59765625" style="39" hidden="1" customWidth="1"/>
    <col min="56" max="16384" width="10.296875" style="39" customWidth="1"/>
  </cols>
  <sheetData>
    <row r="1" spans="1:55" s="28" customFormat="1" ht="27" customHeight="1">
      <c r="A1" s="25"/>
      <c r="B1" s="26" t="s">
        <v>303</v>
      </c>
      <c r="C1" s="26" t="s">
        <v>304</v>
      </c>
      <c r="D1" s="26" t="s">
        <v>305</v>
      </c>
      <c r="E1" s="26" t="s">
        <v>306</v>
      </c>
      <c r="F1" s="26" t="s">
        <v>307</v>
      </c>
      <c r="G1" s="26" t="s">
        <v>308</v>
      </c>
      <c r="H1" s="26" t="s">
        <v>309</v>
      </c>
      <c r="I1" s="26" t="s">
        <v>310</v>
      </c>
      <c r="J1" s="26" t="s">
        <v>311</v>
      </c>
      <c r="K1" s="26" t="s">
        <v>312</v>
      </c>
      <c r="L1" s="26" t="s">
        <v>246</v>
      </c>
      <c r="M1" s="26" t="s">
        <v>247</v>
      </c>
      <c r="N1" s="26" t="s">
        <v>248</v>
      </c>
      <c r="O1" s="26" t="s">
        <v>249</v>
      </c>
      <c r="P1" s="26" t="s">
        <v>250</v>
      </c>
      <c r="Q1" s="26" t="s">
        <v>251</v>
      </c>
      <c r="R1" s="26" t="s">
        <v>252</v>
      </c>
      <c r="S1" s="26" t="s">
        <v>253</v>
      </c>
      <c r="T1" s="26" t="s">
        <v>254</v>
      </c>
      <c r="U1" s="26" t="s">
        <v>255</v>
      </c>
      <c r="V1" s="26" t="s">
        <v>256</v>
      </c>
      <c r="W1" s="26" t="s">
        <v>257</v>
      </c>
      <c r="X1" s="26" t="s">
        <v>258</v>
      </c>
      <c r="Y1" s="26" t="s">
        <v>259</v>
      </c>
      <c r="Z1" s="26" t="s">
        <v>260</v>
      </c>
      <c r="AA1" s="26" t="s">
        <v>261</v>
      </c>
      <c r="AB1" s="26" t="s">
        <v>262</v>
      </c>
      <c r="AC1" s="26" t="s">
        <v>263</v>
      </c>
      <c r="AD1" s="26" t="s">
        <v>264</v>
      </c>
      <c r="AE1" s="26" t="s">
        <v>265</v>
      </c>
      <c r="AF1" s="26" t="s">
        <v>266</v>
      </c>
      <c r="AG1" s="26" t="s">
        <v>267</v>
      </c>
      <c r="AH1" s="26" t="s">
        <v>268</v>
      </c>
      <c r="AI1" s="26" t="s">
        <v>269</v>
      </c>
      <c r="AJ1" s="26" t="s">
        <v>270</v>
      </c>
      <c r="AK1" s="26" t="s">
        <v>115</v>
      </c>
      <c r="AL1" s="26" t="s">
        <v>116</v>
      </c>
      <c r="AM1" s="26" t="s">
        <v>117</v>
      </c>
      <c r="AN1" s="26" t="s">
        <v>118</v>
      </c>
      <c r="AO1" s="26" t="s">
        <v>119</v>
      </c>
      <c r="AP1" s="26" t="s">
        <v>120</v>
      </c>
      <c r="AQ1" s="26" t="s">
        <v>121</v>
      </c>
      <c r="AR1" s="26" t="s">
        <v>122</v>
      </c>
      <c r="AS1" s="26" t="s">
        <v>123</v>
      </c>
      <c r="AT1" s="26" t="s">
        <v>124</v>
      </c>
      <c r="AU1" s="26" t="s">
        <v>125</v>
      </c>
      <c r="AV1" s="26" t="s">
        <v>126</v>
      </c>
      <c r="AW1" s="26" t="s">
        <v>127</v>
      </c>
      <c r="AX1" s="26" t="s">
        <v>128</v>
      </c>
      <c r="AY1" s="26" t="s">
        <v>129</v>
      </c>
      <c r="AZ1" s="26" t="s">
        <v>130</v>
      </c>
      <c r="BA1" s="26" t="s">
        <v>131</v>
      </c>
      <c r="BB1" s="26" t="s">
        <v>132</v>
      </c>
      <c r="BC1" s="27" t="s">
        <v>191</v>
      </c>
    </row>
    <row r="2" spans="1:55" s="28" customFormat="1" ht="27" customHeight="1">
      <c r="A2" s="29"/>
      <c r="B2" s="30"/>
      <c r="C2" s="31"/>
      <c r="D2" s="31"/>
      <c r="E2" s="31"/>
      <c r="F2" s="32"/>
      <c r="G2" s="30"/>
      <c r="H2" s="31"/>
      <c r="I2" s="31"/>
      <c r="J2" s="32"/>
      <c r="K2" s="30"/>
      <c r="L2" s="31"/>
      <c r="M2" s="31"/>
      <c r="N2" s="32"/>
      <c r="O2" s="30"/>
      <c r="P2" s="31"/>
      <c r="Q2" s="31"/>
      <c r="R2" s="32"/>
      <c r="S2" s="30"/>
      <c r="T2" s="31"/>
      <c r="U2" s="31"/>
      <c r="V2" s="31"/>
      <c r="W2" s="32"/>
      <c r="X2" s="30"/>
      <c r="Y2" s="31"/>
      <c r="Z2" s="31"/>
      <c r="AA2" s="32"/>
      <c r="AB2" s="30"/>
      <c r="AC2" s="31"/>
      <c r="AD2" s="31"/>
      <c r="AE2" s="31"/>
      <c r="AF2" s="32"/>
      <c r="AG2" s="30"/>
      <c r="AH2" s="31"/>
      <c r="AI2" s="31"/>
      <c r="AJ2" s="32"/>
      <c r="AK2" s="30"/>
      <c r="AL2" s="31"/>
      <c r="AM2" s="31"/>
      <c r="AN2" s="32"/>
      <c r="AO2" s="30"/>
      <c r="AP2" s="31"/>
      <c r="AQ2" s="31"/>
      <c r="AR2" s="31"/>
      <c r="AS2" s="32"/>
      <c r="AT2" s="30"/>
      <c r="AU2" s="31"/>
      <c r="AV2" s="31"/>
      <c r="AW2" s="32"/>
      <c r="AX2" s="30"/>
      <c r="AY2" s="31"/>
      <c r="AZ2" s="31"/>
      <c r="BA2" s="31"/>
      <c r="BB2" s="31"/>
      <c r="BC2" s="33"/>
    </row>
    <row r="3" spans="1:55" ht="18">
      <c r="A3" s="34" t="s">
        <v>53</v>
      </c>
      <c r="B3" s="35"/>
      <c r="C3" s="36"/>
      <c r="D3" s="36"/>
      <c r="E3" s="36"/>
      <c r="F3" s="37"/>
      <c r="G3" s="35"/>
      <c r="H3" s="36"/>
      <c r="I3" s="36"/>
      <c r="J3" s="37"/>
      <c r="K3" s="35"/>
      <c r="L3" s="36"/>
      <c r="M3" s="36"/>
      <c r="N3" s="37"/>
      <c r="O3" s="35"/>
      <c r="P3" s="36"/>
      <c r="Q3" s="36"/>
      <c r="R3" s="37"/>
      <c r="S3" s="35"/>
      <c r="T3" s="36"/>
      <c r="U3" s="36"/>
      <c r="V3" s="36"/>
      <c r="W3" s="37"/>
      <c r="X3" s="35"/>
      <c r="Y3" s="36"/>
      <c r="Z3" s="36"/>
      <c r="AA3" s="37"/>
      <c r="AB3" s="35"/>
      <c r="AC3" s="36"/>
      <c r="AD3" s="36"/>
      <c r="AE3" s="36"/>
      <c r="AF3" s="37"/>
      <c r="AG3" s="35"/>
      <c r="AH3" s="36"/>
      <c r="AI3" s="36"/>
      <c r="AJ3" s="37"/>
      <c r="AK3" s="35"/>
      <c r="AL3" s="36"/>
      <c r="AM3" s="36"/>
      <c r="AN3" s="37"/>
      <c r="AO3" s="35"/>
      <c r="AP3" s="36"/>
      <c r="AQ3" s="36"/>
      <c r="AR3" s="36"/>
      <c r="AS3" s="37"/>
      <c r="AT3" s="35"/>
      <c r="AU3" s="36"/>
      <c r="AV3" s="36"/>
      <c r="AW3" s="37"/>
      <c r="AX3" s="35"/>
      <c r="AY3" s="36"/>
      <c r="AZ3" s="36"/>
      <c r="BA3" s="36"/>
      <c r="BB3" s="36"/>
      <c r="BC3" s="38"/>
    </row>
    <row r="4" spans="1:55" s="45" customFormat="1" ht="13.5">
      <c r="A4" s="40" t="s">
        <v>133</v>
      </c>
      <c r="B4" s="41">
        <v>45000</v>
      </c>
      <c r="C4" s="42">
        <f aca="true" t="shared" si="0" ref="C4:BB4">B60</f>
        <v>38485</v>
      </c>
      <c r="D4" s="42">
        <f t="shared" si="0"/>
        <v>39485</v>
      </c>
      <c r="E4" s="42">
        <f t="shared" si="0"/>
        <v>10220</v>
      </c>
      <c r="F4" s="43">
        <f t="shared" si="0"/>
        <v>-780</v>
      </c>
      <c r="G4" s="41">
        <f t="shared" si="0"/>
        <v>-14977</v>
      </c>
      <c r="H4" s="42">
        <f t="shared" si="0"/>
        <v>-26692</v>
      </c>
      <c r="I4" s="42">
        <f t="shared" si="0"/>
        <v>-22889</v>
      </c>
      <c r="J4" s="43">
        <f t="shared" si="0"/>
        <v>-22164</v>
      </c>
      <c r="K4" s="41">
        <f t="shared" si="0"/>
        <v>-28206</v>
      </c>
      <c r="L4" s="42">
        <f t="shared" si="0"/>
        <v>-52921</v>
      </c>
      <c r="M4" s="42">
        <f t="shared" si="0"/>
        <v>-68963</v>
      </c>
      <c r="N4" s="43">
        <f t="shared" si="0"/>
        <v>-89938</v>
      </c>
      <c r="O4" s="41">
        <f t="shared" si="0"/>
        <v>-105680</v>
      </c>
      <c r="P4" s="42">
        <f t="shared" si="0"/>
        <v>-130395</v>
      </c>
      <c r="Q4" s="42">
        <f t="shared" si="0"/>
        <v>-146437</v>
      </c>
      <c r="R4" s="43">
        <f t="shared" si="0"/>
        <v>-167712</v>
      </c>
      <c r="S4" s="41">
        <f t="shared" si="0"/>
        <v>-182712</v>
      </c>
      <c r="T4" s="42">
        <f t="shared" si="0"/>
        <v>-208469</v>
      </c>
      <c r="U4" s="42">
        <f t="shared" si="0"/>
        <v>-223469</v>
      </c>
      <c r="V4" s="42">
        <f t="shared" si="0"/>
        <v>-245786</v>
      </c>
      <c r="W4" s="43">
        <f t="shared" si="0"/>
        <v>-260786</v>
      </c>
      <c r="X4" s="41">
        <f t="shared" si="0"/>
        <v>-276828</v>
      </c>
      <c r="Y4" s="42">
        <f t="shared" si="0"/>
        <v>-301043</v>
      </c>
      <c r="Z4" s="42">
        <f t="shared" si="0"/>
        <v>-317085</v>
      </c>
      <c r="AA4" s="43">
        <f t="shared" si="0"/>
        <v>-338360</v>
      </c>
      <c r="AB4" s="41">
        <f t="shared" si="0"/>
        <v>-354402</v>
      </c>
      <c r="AC4" s="42">
        <f t="shared" si="0"/>
        <v>-378617</v>
      </c>
      <c r="AD4" s="42">
        <f t="shared" si="0"/>
        <v>-394659</v>
      </c>
      <c r="AE4" s="42">
        <f t="shared" si="0"/>
        <v>-413934</v>
      </c>
      <c r="AF4" s="43">
        <f t="shared" si="0"/>
        <v>-428934</v>
      </c>
      <c r="AG4" s="41">
        <f t="shared" si="0"/>
        <v>-444976</v>
      </c>
      <c r="AH4" s="42">
        <f t="shared" si="0"/>
        <v>-469191</v>
      </c>
      <c r="AI4" s="42">
        <f t="shared" si="0"/>
        <v>-485233</v>
      </c>
      <c r="AJ4" s="43">
        <f t="shared" si="0"/>
        <v>-504508</v>
      </c>
      <c r="AK4" s="41">
        <f t="shared" si="0"/>
        <v>-520550</v>
      </c>
      <c r="AL4" s="42">
        <f t="shared" si="0"/>
        <v>-544765</v>
      </c>
      <c r="AM4" s="42">
        <f t="shared" si="0"/>
        <v>-560807</v>
      </c>
      <c r="AN4" s="43">
        <f t="shared" si="0"/>
        <v>-580082</v>
      </c>
      <c r="AO4" s="41">
        <f t="shared" si="0"/>
        <v>-596124</v>
      </c>
      <c r="AP4" s="42">
        <f t="shared" si="0"/>
        <v>-620339</v>
      </c>
      <c r="AQ4" s="42">
        <f t="shared" si="0"/>
        <v>-635339</v>
      </c>
      <c r="AR4" s="42">
        <f t="shared" si="0"/>
        <v>-655656</v>
      </c>
      <c r="AS4" s="43">
        <f t="shared" si="0"/>
        <v>-670656</v>
      </c>
      <c r="AT4" s="41">
        <f t="shared" si="0"/>
        <v>-686698</v>
      </c>
      <c r="AU4" s="42">
        <f t="shared" si="0"/>
        <v>-710913</v>
      </c>
      <c r="AV4" s="42">
        <f t="shared" si="0"/>
        <v>-726955</v>
      </c>
      <c r="AW4" s="43">
        <f t="shared" si="0"/>
        <v>-746230</v>
      </c>
      <c r="AX4" s="41">
        <f t="shared" si="0"/>
        <v>-762272</v>
      </c>
      <c r="AY4" s="42">
        <f t="shared" si="0"/>
        <v>-786487</v>
      </c>
      <c r="AZ4" s="42">
        <f t="shared" si="0"/>
        <v>-802529</v>
      </c>
      <c r="BA4" s="42">
        <f t="shared" si="0"/>
        <v>-821804</v>
      </c>
      <c r="BB4" s="42">
        <f t="shared" si="0"/>
        <v>-837846</v>
      </c>
      <c r="BC4" s="44"/>
    </row>
    <row r="5" spans="1:55" s="45" customFormat="1" ht="12.75">
      <c r="A5" s="46"/>
      <c r="B5" s="47"/>
      <c r="C5" s="48"/>
      <c r="D5" s="49"/>
      <c r="E5" s="49"/>
      <c r="F5" s="50"/>
      <c r="G5" s="51"/>
      <c r="H5" s="49"/>
      <c r="I5" s="49"/>
      <c r="J5" s="52"/>
      <c r="K5" s="53"/>
      <c r="L5" s="54"/>
      <c r="M5" s="54"/>
      <c r="N5" s="52"/>
      <c r="O5" s="53"/>
      <c r="P5" s="54"/>
      <c r="Q5" s="54"/>
      <c r="R5" s="52"/>
      <c r="S5" s="53"/>
      <c r="T5" s="54"/>
      <c r="U5" s="54"/>
      <c r="V5" s="54"/>
      <c r="W5" s="52"/>
      <c r="X5" s="53"/>
      <c r="Y5" s="54"/>
      <c r="Z5" s="54"/>
      <c r="AA5" s="52"/>
      <c r="AB5" s="53"/>
      <c r="AC5" s="54"/>
      <c r="AD5" s="54"/>
      <c r="AE5" s="54"/>
      <c r="AF5" s="52"/>
      <c r="AG5" s="53"/>
      <c r="AH5" s="54"/>
      <c r="AI5" s="54"/>
      <c r="AJ5" s="52"/>
      <c r="AK5" s="53"/>
      <c r="AL5" s="54"/>
      <c r="AM5" s="54"/>
      <c r="AN5" s="52"/>
      <c r="AO5" s="53"/>
      <c r="AP5" s="54"/>
      <c r="AQ5" s="54"/>
      <c r="AR5" s="54"/>
      <c r="AS5" s="52"/>
      <c r="AT5" s="53"/>
      <c r="AU5" s="54"/>
      <c r="AV5" s="54"/>
      <c r="AW5" s="52"/>
      <c r="AX5" s="53"/>
      <c r="AY5" s="54"/>
      <c r="AZ5" s="54"/>
      <c r="BA5" s="54"/>
      <c r="BB5" s="54"/>
      <c r="BC5" s="55">
        <f>SUM(AQ5:BB5)</f>
        <v>0</v>
      </c>
    </row>
    <row r="6" spans="1:55" s="45" customFormat="1" ht="13.5">
      <c r="A6" s="40" t="s">
        <v>134</v>
      </c>
      <c r="B6" s="47"/>
      <c r="C6" s="48"/>
      <c r="D6" s="49"/>
      <c r="E6" s="49"/>
      <c r="F6" s="50"/>
      <c r="G6" s="51"/>
      <c r="H6" s="49"/>
      <c r="I6" s="49"/>
      <c r="J6" s="52"/>
      <c r="K6" s="53"/>
      <c r="L6" s="54"/>
      <c r="M6" s="54"/>
      <c r="N6" s="52"/>
      <c r="O6" s="53"/>
      <c r="P6" s="54"/>
      <c r="Q6" s="54"/>
      <c r="R6" s="52"/>
      <c r="S6" s="53"/>
      <c r="T6" s="54"/>
      <c r="U6" s="54"/>
      <c r="V6" s="54"/>
      <c r="W6" s="52"/>
      <c r="X6" s="53"/>
      <c r="Y6" s="54"/>
      <c r="Z6" s="54"/>
      <c r="AA6" s="52"/>
      <c r="AB6" s="53"/>
      <c r="AC6" s="54"/>
      <c r="AD6" s="54"/>
      <c r="AE6" s="54"/>
      <c r="AF6" s="52"/>
      <c r="AG6" s="53"/>
      <c r="AH6" s="54"/>
      <c r="AI6" s="54"/>
      <c r="AJ6" s="52"/>
      <c r="AK6" s="53"/>
      <c r="AL6" s="54"/>
      <c r="AM6" s="54"/>
      <c r="AN6" s="52"/>
      <c r="AO6" s="53"/>
      <c r="AP6" s="54"/>
      <c r="AQ6" s="54"/>
      <c r="AR6" s="54"/>
      <c r="AS6" s="52"/>
      <c r="AT6" s="53"/>
      <c r="AU6" s="54"/>
      <c r="AV6" s="54"/>
      <c r="AW6" s="52"/>
      <c r="AX6" s="53"/>
      <c r="AY6" s="54"/>
      <c r="AZ6" s="54"/>
      <c r="BA6" s="54"/>
      <c r="BB6" s="54"/>
      <c r="BC6" s="55">
        <f>SUM(AQ6:BB6)</f>
        <v>0</v>
      </c>
    </row>
    <row r="7" spans="1:55" s="45" customFormat="1" ht="12.75" hidden="1">
      <c r="A7" s="46" t="s">
        <v>135</v>
      </c>
      <c r="B7" s="53">
        <v>4000</v>
      </c>
      <c r="C7" s="54"/>
      <c r="D7" s="54"/>
      <c r="E7" s="54"/>
      <c r="F7" s="52"/>
      <c r="G7" s="53"/>
      <c r="H7" s="54"/>
      <c r="I7" s="54"/>
      <c r="J7" s="52"/>
      <c r="K7" s="53"/>
      <c r="L7" s="54"/>
      <c r="M7" s="54"/>
      <c r="N7" s="52"/>
      <c r="O7" s="53"/>
      <c r="P7" s="54"/>
      <c r="Q7" s="54"/>
      <c r="R7" s="52"/>
      <c r="S7" s="53"/>
      <c r="T7" s="54"/>
      <c r="U7" s="54"/>
      <c r="V7" s="54"/>
      <c r="W7" s="52"/>
      <c r="X7" s="53"/>
      <c r="Y7" s="54"/>
      <c r="Z7" s="54"/>
      <c r="AA7" s="52"/>
      <c r="AB7" s="53"/>
      <c r="AC7" s="54"/>
      <c r="AD7" s="54"/>
      <c r="AE7" s="54"/>
      <c r="AF7" s="52"/>
      <c r="AG7" s="53"/>
      <c r="AH7" s="54"/>
      <c r="AI7" s="54"/>
      <c r="AJ7" s="52"/>
      <c r="AK7" s="53"/>
      <c r="AL7" s="54"/>
      <c r="AM7" s="54"/>
      <c r="AN7" s="52"/>
      <c r="AO7" s="53"/>
      <c r="AP7" s="54"/>
      <c r="AQ7" s="54"/>
      <c r="AR7" s="54"/>
      <c r="AS7" s="52"/>
      <c r="AT7" s="53"/>
      <c r="AU7" s="54"/>
      <c r="AV7" s="54"/>
      <c r="AW7" s="52"/>
      <c r="AX7" s="53"/>
      <c r="AY7" s="54"/>
      <c r="AZ7" s="54"/>
      <c r="BA7" s="54"/>
      <c r="BB7" s="54"/>
      <c r="BC7" s="55">
        <f>SUM(AQ7:BB7)</f>
        <v>0</v>
      </c>
    </row>
    <row r="8" spans="1:55" s="45" customFormat="1" ht="12.75" hidden="1">
      <c r="A8" s="46" t="s">
        <v>151</v>
      </c>
      <c r="B8" s="53"/>
      <c r="C8" s="54">
        <v>8000</v>
      </c>
      <c r="D8" s="54">
        <v>5000</v>
      </c>
      <c r="E8" s="54">
        <v>2000</v>
      </c>
      <c r="F8" s="52">
        <v>1000</v>
      </c>
      <c r="G8" s="53"/>
      <c r="H8" s="54"/>
      <c r="I8" s="54"/>
      <c r="J8" s="52"/>
      <c r="K8" s="53"/>
      <c r="L8" s="54"/>
      <c r="M8" s="54"/>
      <c r="N8" s="52"/>
      <c r="O8" s="53"/>
      <c r="P8" s="54"/>
      <c r="Q8" s="54"/>
      <c r="R8" s="52"/>
      <c r="S8" s="53"/>
      <c r="T8" s="54"/>
      <c r="U8" s="54"/>
      <c r="V8" s="54"/>
      <c r="W8" s="52"/>
      <c r="X8" s="53"/>
      <c r="Y8" s="54"/>
      <c r="Z8" s="54"/>
      <c r="AA8" s="52"/>
      <c r="AB8" s="53"/>
      <c r="AC8" s="54"/>
      <c r="AD8" s="54"/>
      <c r="AE8" s="54"/>
      <c r="AF8" s="52"/>
      <c r="AG8" s="53"/>
      <c r="AH8" s="54"/>
      <c r="AI8" s="54"/>
      <c r="AJ8" s="52"/>
      <c r="AK8" s="53"/>
      <c r="AL8" s="54"/>
      <c r="AM8" s="54"/>
      <c r="AN8" s="52"/>
      <c r="AO8" s="53"/>
      <c r="AP8" s="54"/>
      <c r="AQ8" s="54"/>
      <c r="AR8" s="54"/>
      <c r="AS8" s="52"/>
      <c r="AT8" s="53"/>
      <c r="AU8" s="54"/>
      <c r="AV8" s="54"/>
      <c r="AW8" s="52"/>
      <c r="AX8" s="53"/>
      <c r="AY8" s="54"/>
      <c r="AZ8" s="54"/>
      <c r="BA8" s="54"/>
      <c r="BB8" s="54"/>
      <c r="BC8" s="55">
        <f>SUM(AQ8:BB8)</f>
        <v>0</v>
      </c>
    </row>
    <row r="9" spans="1:55" s="45" customFormat="1" ht="12.75" hidden="1">
      <c r="A9" s="46" t="s">
        <v>152</v>
      </c>
      <c r="B9" s="53"/>
      <c r="C9" s="49"/>
      <c r="D9" s="54"/>
      <c r="E9" s="54"/>
      <c r="F9" s="52"/>
      <c r="G9" s="53">
        <v>6500</v>
      </c>
      <c r="H9" s="54">
        <v>10000</v>
      </c>
      <c r="I9" s="54">
        <v>11000</v>
      </c>
      <c r="J9" s="52">
        <v>5000</v>
      </c>
      <c r="K9" s="53"/>
      <c r="L9" s="54"/>
      <c r="M9" s="54"/>
      <c r="N9" s="52"/>
      <c r="O9" s="53"/>
      <c r="P9" s="54"/>
      <c r="Q9" s="54"/>
      <c r="R9" s="52"/>
      <c r="S9" s="53"/>
      <c r="T9" s="54"/>
      <c r="U9" s="54"/>
      <c r="V9" s="54"/>
      <c r="W9" s="52"/>
      <c r="X9" s="53"/>
      <c r="Y9" s="54"/>
      <c r="Z9" s="54"/>
      <c r="AA9" s="52"/>
      <c r="AB9" s="53"/>
      <c r="AC9" s="54"/>
      <c r="AD9" s="54"/>
      <c r="AE9" s="54"/>
      <c r="AF9" s="52"/>
      <c r="AG9" s="53"/>
      <c r="AH9" s="54"/>
      <c r="AI9" s="54"/>
      <c r="AJ9" s="52"/>
      <c r="AK9" s="53"/>
      <c r="AL9" s="54"/>
      <c r="AM9" s="54"/>
      <c r="AN9" s="52"/>
      <c r="AO9" s="53"/>
      <c r="AP9" s="54"/>
      <c r="AQ9" s="54"/>
      <c r="AR9" s="54"/>
      <c r="AS9" s="52"/>
      <c r="AT9" s="53"/>
      <c r="AU9" s="54"/>
      <c r="AV9" s="54"/>
      <c r="AW9" s="52"/>
      <c r="AX9" s="53"/>
      <c r="AY9" s="54"/>
      <c r="AZ9" s="54"/>
      <c r="BA9" s="54"/>
      <c r="BB9" s="54"/>
      <c r="BC9" s="55">
        <f>SUM(AQ9:BB9)</f>
        <v>0</v>
      </c>
    </row>
    <row r="10" spans="1:55" s="45" customFormat="1" ht="12.75" hidden="1">
      <c r="A10" s="46" t="s">
        <v>153</v>
      </c>
      <c r="B10" s="53"/>
      <c r="C10" s="54"/>
      <c r="D10" s="54"/>
      <c r="E10" s="54"/>
      <c r="F10" s="52"/>
      <c r="G10" s="53"/>
      <c r="H10" s="54"/>
      <c r="I10" s="54"/>
      <c r="J10" s="52"/>
      <c r="K10" s="53"/>
      <c r="L10" s="54"/>
      <c r="M10" s="54"/>
      <c r="N10" s="52"/>
      <c r="O10" s="53"/>
      <c r="P10" s="54"/>
      <c r="Q10" s="54"/>
      <c r="R10" s="52"/>
      <c r="S10" s="53"/>
      <c r="T10" s="54"/>
      <c r="U10" s="54"/>
      <c r="V10" s="54"/>
      <c r="W10" s="52"/>
      <c r="X10" s="53"/>
      <c r="Y10" s="54"/>
      <c r="Z10" s="54"/>
      <c r="AA10" s="52"/>
      <c r="AB10" s="53"/>
      <c r="AC10" s="54"/>
      <c r="AD10" s="54"/>
      <c r="AE10" s="54"/>
      <c r="AF10" s="52"/>
      <c r="AG10" s="53"/>
      <c r="AH10" s="54"/>
      <c r="AI10" s="54"/>
      <c r="AJ10" s="52"/>
      <c r="AK10" s="53"/>
      <c r="AL10" s="54"/>
      <c r="AM10" s="54"/>
      <c r="AN10" s="52"/>
      <c r="AO10" s="53"/>
      <c r="AP10" s="54"/>
      <c r="AQ10" s="54"/>
      <c r="AR10" s="54"/>
      <c r="AS10" s="52"/>
      <c r="AT10" s="53"/>
      <c r="AU10" s="54"/>
      <c r="AV10" s="54"/>
      <c r="AW10" s="52"/>
      <c r="AX10" s="53"/>
      <c r="AY10" s="54"/>
      <c r="AZ10" s="54"/>
      <c r="BA10" s="54"/>
      <c r="BB10" s="54"/>
      <c r="BC10" s="55"/>
    </row>
    <row r="11" spans="1:55" s="45" customFormat="1" ht="12.75" hidden="1">
      <c r="A11" s="46" t="s">
        <v>154</v>
      </c>
      <c r="B11" s="51"/>
      <c r="C11" s="49"/>
      <c r="D11" s="54"/>
      <c r="E11" s="54"/>
      <c r="F11" s="52"/>
      <c r="G11" s="53"/>
      <c r="H11" s="54"/>
      <c r="I11" s="54"/>
      <c r="J11" s="52"/>
      <c r="K11" s="53"/>
      <c r="L11" s="54"/>
      <c r="M11" s="48">
        <v>150</v>
      </c>
      <c r="N11" s="56">
        <v>150</v>
      </c>
      <c r="O11" s="53"/>
      <c r="P11" s="54"/>
      <c r="Q11" s="54"/>
      <c r="R11" s="52"/>
      <c r="S11" s="53"/>
      <c r="T11" s="54"/>
      <c r="U11" s="54"/>
      <c r="V11" s="54"/>
      <c r="W11" s="52"/>
      <c r="X11" s="53"/>
      <c r="Y11" s="54"/>
      <c r="Z11" s="54"/>
      <c r="AA11" s="52"/>
      <c r="AB11" s="53"/>
      <c r="AC11" s="54"/>
      <c r="AD11" s="54"/>
      <c r="AE11" s="54"/>
      <c r="AF11" s="52"/>
      <c r="AG11" s="53"/>
      <c r="AH11" s="54"/>
      <c r="AI11" s="54"/>
      <c r="AJ11" s="52"/>
      <c r="AK11" s="53"/>
      <c r="AL11" s="54"/>
      <c r="AM11" s="54"/>
      <c r="AN11" s="52"/>
      <c r="AO11" s="53"/>
      <c r="AP11" s="54"/>
      <c r="AQ11" s="54"/>
      <c r="AR11" s="54"/>
      <c r="AS11" s="52"/>
      <c r="AT11" s="53"/>
      <c r="AU11" s="54"/>
      <c r="AV11" s="54"/>
      <c r="AW11" s="52"/>
      <c r="AX11" s="53"/>
      <c r="AY11" s="54"/>
      <c r="AZ11" s="54"/>
      <c r="BA11" s="54"/>
      <c r="BB11" s="54"/>
      <c r="BC11" s="55"/>
    </row>
    <row r="12" spans="1:55" s="45" customFormat="1" ht="13.5">
      <c r="A12" s="40" t="s">
        <v>155</v>
      </c>
      <c r="B12" s="57">
        <f aca="true" t="shared" si="1" ref="B12:AG12">SUM(B7:B11)</f>
        <v>4000</v>
      </c>
      <c r="C12" s="58">
        <f t="shared" si="1"/>
        <v>8000</v>
      </c>
      <c r="D12" s="58">
        <f t="shared" si="1"/>
        <v>5000</v>
      </c>
      <c r="E12" s="58">
        <f t="shared" si="1"/>
        <v>2000</v>
      </c>
      <c r="F12" s="59">
        <f t="shared" si="1"/>
        <v>1000</v>
      </c>
      <c r="G12" s="57">
        <f t="shared" si="1"/>
        <v>6500</v>
      </c>
      <c r="H12" s="58">
        <f t="shared" si="1"/>
        <v>10000</v>
      </c>
      <c r="I12" s="58">
        <f t="shared" si="1"/>
        <v>11000</v>
      </c>
      <c r="J12" s="59">
        <f t="shared" si="1"/>
        <v>5000</v>
      </c>
      <c r="K12" s="57">
        <f t="shared" si="1"/>
        <v>0</v>
      </c>
      <c r="L12" s="58">
        <f t="shared" si="1"/>
        <v>0</v>
      </c>
      <c r="M12" s="58">
        <f t="shared" si="1"/>
        <v>150</v>
      </c>
      <c r="N12" s="59">
        <f t="shared" si="1"/>
        <v>150</v>
      </c>
      <c r="O12" s="57">
        <f t="shared" si="1"/>
        <v>0</v>
      </c>
      <c r="P12" s="58">
        <f t="shared" si="1"/>
        <v>0</v>
      </c>
      <c r="Q12" s="58">
        <f t="shared" si="1"/>
        <v>0</v>
      </c>
      <c r="R12" s="59">
        <f t="shared" si="1"/>
        <v>0</v>
      </c>
      <c r="S12" s="57">
        <f t="shared" si="1"/>
        <v>0</v>
      </c>
      <c r="T12" s="58">
        <f t="shared" si="1"/>
        <v>0</v>
      </c>
      <c r="U12" s="58">
        <f t="shared" si="1"/>
        <v>0</v>
      </c>
      <c r="V12" s="58">
        <f t="shared" si="1"/>
        <v>0</v>
      </c>
      <c r="W12" s="59">
        <f t="shared" si="1"/>
        <v>0</v>
      </c>
      <c r="X12" s="57">
        <f t="shared" si="1"/>
        <v>0</v>
      </c>
      <c r="Y12" s="58">
        <f t="shared" si="1"/>
        <v>0</v>
      </c>
      <c r="Z12" s="58">
        <f t="shared" si="1"/>
        <v>0</v>
      </c>
      <c r="AA12" s="59">
        <f t="shared" si="1"/>
        <v>0</v>
      </c>
      <c r="AB12" s="57">
        <f t="shared" si="1"/>
        <v>0</v>
      </c>
      <c r="AC12" s="58">
        <f t="shared" si="1"/>
        <v>0</v>
      </c>
      <c r="AD12" s="58">
        <f t="shared" si="1"/>
        <v>0</v>
      </c>
      <c r="AE12" s="58">
        <f t="shared" si="1"/>
        <v>0</v>
      </c>
      <c r="AF12" s="59">
        <f t="shared" si="1"/>
        <v>0</v>
      </c>
      <c r="AG12" s="57">
        <f t="shared" si="1"/>
        <v>0</v>
      </c>
      <c r="AH12" s="58">
        <f aca="true" t="shared" si="2" ref="AH12:BB12">SUM(AH7:AH11)</f>
        <v>0</v>
      </c>
      <c r="AI12" s="58">
        <f t="shared" si="2"/>
        <v>0</v>
      </c>
      <c r="AJ12" s="59">
        <f t="shared" si="2"/>
        <v>0</v>
      </c>
      <c r="AK12" s="57">
        <f t="shared" si="2"/>
        <v>0</v>
      </c>
      <c r="AL12" s="58">
        <f t="shared" si="2"/>
        <v>0</v>
      </c>
      <c r="AM12" s="58">
        <f t="shared" si="2"/>
        <v>0</v>
      </c>
      <c r="AN12" s="59">
        <f t="shared" si="2"/>
        <v>0</v>
      </c>
      <c r="AO12" s="57">
        <f t="shared" si="2"/>
        <v>0</v>
      </c>
      <c r="AP12" s="58">
        <f t="shared" si="2"/>
        <v>0</v>
      </c>
      <c r="AQ12" s="58">
        <f t="shared" si="2"/>
        <v>0</v>
      </c>
      <c r="AR12" s="58">
        <f t="shared" si="2"/>
        <v>0</v>
      </c>
      <c r="AS12" s="59">
        <f t="shared" si="2"/>
        <v>0</v>
      </c>
      <c r="AT12" s="57">
        <f t="shared" si="2"/>
        <v>0</v>
      </c>
      <c r="AU12" s="58">
        <f t="shared" si="2"/>
        <v>0</v>
      </c>
      <c r="AV12" s="58">
        <f t="shared" si="2"/>
        <v>0</v>
      </c>
      <c r="AW12" s="59">
        <f t="shared" si="2"/>
        <v>0</v>
      </c>
      <c r="AX12" s="57">
        <f t="shared" si="2"/>
        <v>0</v>
      </c>
      <c r="AY12" s="58">
        <f t="shared" si="2"/>
        <v>0</v>
      </c>
      <c r="AZ12" s="58">
        <f t="shared" si="2"/>
        <v>0</v>
      </c>
      <c r="BA12" s="58">
        <f t="shared" si="2"/>
        <v>0</v>
      </c>
      <c r="BB12" s="58">
        <f t="shared" si="2"/>
        <v>0</v>
      </c>
      <c r="BC12" s="60"/>
    </row>
    <row r="13" spans="1:55" s="45" customFormat="1" ht="12.75">
      <c r="A13" s="46"/>
      <c r="B13" s="47"/>
      <c r="C13" s="48"/>
      <c r="D13" s="54"/>
      <c r="E13" s="54"/>
      <c r="F13" s="52"/>
      <c r="G13" s="53"/>
      <c r="H13" s="54"/>
      <c r="I13" s="54"/>
      <c r="J13" s="52"/>
      <c r="K13" s="53"/>
      <c r="L13" s="54"/>
      <c r="M13" s="54"/>
      <c r="N13" s="52"/>
      <c r="O13" s="53"/>
      <c r="P13" s="54"/>
      <c r="Q13" s="54"/>
      <c r="R13" s="52"/>
      <c r="S13" s="53"/>
      <c r="T13" s="54"/>
      <c r="U13" s="54"/>
      <c r="V13" s="54"/>
      <c r="W13" s="52"/>
      <c r="X13" s="53"/>
      <c r="Y13" s="54"/>
      <c r="Z13" s="54"/>
      <c r="AA13" s="52"/>
      <c r="AB13" s="53"/>
      <c r="AC13" s="54"/>
      <c r="AD13" s="54"/>
      <c r="AE13" s="54"/>
      <c r="AF13" s="52"/>
      <c r="AG13" s="53"/>
      <c r="AH13" s="54"/>
      <c r="AI13" s="54"/>
      <c r="AJ13" s="52"/>
      <c r="AK13" s="53"/>
      <c r="AL13" s="54"/>
      <c r="AM13" s="54"/>
      <c r="AN13" s="52"/>
      <c r="AO13" s="53"/>
      <c r="AP13" s="54"/>
      <c r="AQ13" s="54"/>
      <c r="AR13" s="54"/>
      <c r="AS13" s="52"/>
      <c r="AT13" s="53"/>
      <c r="AU13" s="54"/>
      <c r="AV13" s="54"/>
      <c r="AW13" s="52"/>
      <c r="AX13" s="53"/>
      <c r="AY13" s="54"/>
      <c r="AZ13" s="54"/>
      <c r="BA13" s="54"/>
      <c r="BB13" s="54"/>
      <c r="BC13" s="55"/>
    </row>
    <row r="14" spans="1:55" s="28" customFormat="1" ht="12.75">
      <c r="A14" s="277"/>
      <c r="B14" s="278"/>
      <c r="C14" s="279"/>
      <c r="D14" s="279"/>
      <c r="E14" s="279"/>
      <c r="F14" s="280"/>
      <c r="G14" s="278"/>
      <c r="H14" s="279"/>
      <c r="I14" s="279"/>
      <c r="J14" s="280"/>
      <c r="K14" s="278"/>
      <c r="L14" s="279"/>
      <c r="M14" s="279"/>
      <c r="N14" s="280"/>
      <c r="O14" s="278"/>
      <c r="P14" s="279"/>
      <c r="Q14" s="279"/>
      <c r="R14" s="280"/>
      <c r="S14" s="278"/>
      <c r="T14" s="279"/>
      <c r="U14" s="279"/>
      <c r="V14" s="279"/>
      <c r="W14" s="280"/>
      <c r="X14" s="278"/>
      <c r="Y14" s="279"/>
      <c r="Z14" s="279"/>
      <c r="AA14" s="280"/>
      <c r="AB14" s="278"/>
      <c r="AC14" s="279"/>
      <c r="AD14" s="279"/>
      <c r="AE14" s="279"/>
      <c r="AF14" s="280"/>
      <c r="AG14" s="278"/>
      <c r="AH14" s="279"/>
      <c r="AI14" s="279"/>
      <c r="AJ14" s="280"/>
      <c r="AK14" s="278"/>
      <c r="AL14" s="279"/>
      <c r="AM14" s="279"/>
      <c r="AN14" s="280"/>
      <c r="AO14" s="278"/>
      <c r="AP14" s="279"/>
      <c r="AQ14" s="279"/>
      <c r="AR14" s="279"/>
      <c r="AS14" s="280"/>
      <c r="AT14" s="278"/>
      <c r="AU14" s="279"/>
      <c r="AV14" s="279"/>
      <c r="AW14" s="280"/>
      <c r="AX14" s="278"/>
      <c r="AY14" s="279"/>
      <c r="AZ14" s="279"/>
      <c r="BA14" s="279"/>
      <c r="BB14" s="279"/>
      <c r="BC14" s="281"/>
    </row>
    <row r="15" spans="1:55" s="297" customFormat="1" ht="16.5">
      <c r="A15" s="298" t="s">
        <v>156</v>
      </c>
      <c r="B15" s="299">
        <f aca="true" t="shared" si="3" ref="B15:AG15">(SUM(B4:B14))*1</f>
        <v>53000</v>
      </c>
      <c r="C15" s="299">
        <f t="shared" si="3"/>
        <v>54485</v>
      </c>
      <c r="D15" s="299">
        <f t="shared" si="3"/>
        <v>49485</v>
      </c>
      <c r="E15" s="299">
        <f t="shared" si="3"/>
        <v>14220</v>
      </c>
      <c r="F15" s="299">
        <f t="shared" si="3"/>
        <v>1220</v>
      </c>
      <c r="G15" s="299">
        <f t="shared" si="3"/>
        <v>-1977</v>
      </c>
      <c r="H15" s="295">
        <f t="shared" si="3"/>
        <v>-6692</v>
      </c>
      <c r="I15" s="295">
        <f t="shared" si="3"/>
        <v>-889</v>
      </c>
      <c r="J15" s="295">
        <f t="shared" si="3"/>
        <v>-12164</v>
      </c>
      <c r="K15" s="295">
        <f t="shared" si="3"/>
        <v>-28206</v>
      </c>
      <c r="L15" s="295">
        <f t="shared" si="3"/>
        <v>-52921</v>
      </c>
      <c r="M15" s="295">
        <f t="shared" si="3"/>
        <v>-68663</v>
      </c>
      <c r="N15" s="295">
        <f t="shared" si="3"/>
        <v>-89638</v>
      </c>
      <c r="O15" s="295">
        <f t="shared" si="3"/>
        <v>-105680</v>
      </c>
      <c r="P15" s="295">
        <f t="shared" si="3"/>
        <v>-130395</v>
      </c>
      <c r="Q15" s="295">
        <f t="shared" si="3"/>
        <v>-146437</v>
      </c>
      <c r="R15" s="295">
        <f t="shared" si="3"/>
        <v>-167712</v>
      </c>
      <c r="S15" s="295">
        <f t="shared" si="3"/>
        <v>-182712</v>
      </c>
      <c r="T15" s="295">
        <f t="shared" si="3"/>
        <v>-208469</v>
      </c>
      <c r="U15" s="295">
        <f t="shared" si="3"/>
        <v>-223469</v>
      </c>
      <c r="V15" s="295">
        <f t="shared" si="3"/>
        <v>-245786</v>
      </c>
      <c r="W15" s="295">
        <f t="shared" si="3"/>
        <v>-260786</v>
      </c>
      <c r="X15" s="295">
        <f t="shared" si="3"/>
        <v>-276828</v>
      </c>
      <c r="Y15" s="295">
        <f t="shared" si="3"/>
        <v>-301043</v>
      </c>
      <c r="Z15" s="295">
        <f t="shared" si="3"/>
        <v>-317085</v>
      </c>
      <c r="AA15" s="295">
        <f t="shared" si="3"/>
        <v>-338360</v>
      </c>
      <c r="AB15" s="295">
        <f t="shared" si="3"/>
        <v>-354402</v>
      </c>
      <c r="AC15" s="295">
        <f t="shared" si="3"/>
        <v>-378617</v>
      </c>
      <c r="AD15" s="295">
        <f t="shared" si="3"/>
        <v>-394659</v>
      </c>
      <c r="AE15" s="295">
        <f t="shared" si="3"/>
        <v>-413934</v>
      </c>
      <c r="AF15" s="295">
        <f t="shared" si="3"/>
        <v>-428934</v>
      </c>
      <c r="AG15" s="295">
        <f t="shared" si="3"/>
        <v>-444976</v>
      </c>
      <c r="AH15" s="295">
        <f aca="true" t="shared" si="4" ref="AH15:BM15">(SUM(AH4:AH14))*1</f>
        <v>-469191</v>
      </c>
      <c r="AI15" s="295">
        <f t="shared" si="4"/>
        <v>-485233</v>
      </c>
      <c r="AJ15" s="295">
        <f t="shared" si="4"/>
        <v>-504508</v>
      </c>
      <c r="AK15" s="295">
        <f t="shared" si="4"/>
        <v>-520550</v>
      </c>
      <c r="AL15" s="295">
        <f t="shared" si="4"/>
        <v>-544765</v>
      </c>
      <c r="AM15" s="295">
        <f t="shared" si="4"/>
        <v>-560807</v>
      </c>
      <c r="AN15" s="295">
        <f t="shared" si="4"/>
        <v>-580082</v>
      </c>
      <c r="AO15" s="295">
        <f t="shared" si="4"/>
        <v>-596124</v>
      </c>
      <c r="AP15" s="295">
        <f t="shared" si="4"/>
        <v>-620339</v>
      </c>
      <c r="AQ15" s="295">
        <f t="shared" si="4"/>
        <v>-635339</v>
      </c>
      <c r="AR15" s="295">
        <f t="shared" si="4"/>
        <v>-655656</v>
      </c>
      <c r="AS15" s="295">
        <f t="shared" si="4"/>
        <v>-670656</v>
      </c>
      <c r="AT15" s="295">
        <f t="shared" si="4"/>
        <v>-686698</v>
      </c>
      <c r="AU15" s="295">
        <f t="shared" si="4"/>
        <v>-710913</v>
      </c>
      <c r="AV15" s="295">
        <f t="shared" si="4"/>
        <v>-726955</v>
      </c>
      <c r="AW15" s="295">
        <f t="shared" si="4"/>
        <v>-746230</v>
      </c>
      <c r="AX15" s="295">
        <f t="shared" si="4"/>
        <v>-762272</v>
      </c>
      <c r="AY15" s="295">
        <f t="shared" si="4"/>
        <v>-786487</v>
      </c>
      <c r="AZ15" s="295">
        <f t="shared" si="4"/>
        <v>-802529</v>
      </c>
      <c r="BA15" s="295">
        <f t="shared" si="4"/>
        <v>-821804</v>
      </c>
      <c r="BB15" s="295">
        <f t="shared" si="4"/>
        <v>-837846</v>
      </c>
      <c r="BC15" s="296">
        <f>SUM(AQ15:BB15)</f>
        <v>-8843385</v>
      </c>
    </row>
    <row r="16" spans="1:55" s="65" customFormat="1" ht="16.5">
      <c r="A16" s="282"/>
      <c r="B16" s="283"/>
      <c r="C16" s="284"/>
      <c r="D16" s="284"/>
      <c r="E16" s="284"/>
      <c r="F16" s="285"/>
      <c r="G16" s="283"/>
      <c r="H16" s="284"/>
      <c r="I16" s="284"/>
      <c r="J16" s="285"/>
      <c r="K16" s="283"/>
      <c r="L16" s="284"/>
      <c r="M16" s="284"/>
      <c r="N16" s="285"/>
      <c r="O16" s="283"/>
      <c r="P16" s="284"/>
      <c r="Q16" s="284"/>
      <c r="R16" s="285"/>
      <c r="S16" s="283"/>
      <c r="T16" s="284"/>
      <c r="U16" s="284"/>
      <c r="V16" s="284"/>
      <c r="W16" s="285"/>
      <c r="X16" s="283"/>
      <c r="Y16" s="284"/>
      <c r="Z16" s="284"/>
      <c r="AA16" s="285"/>
      <c r="AB16" s="283"/>
      <c r="AC16" s="284"/>
      <c r="AD16" s="284"/>
      <c r="AE16" s="284"/>
      <c r="AF16" s="285"/>
      <c r="AG16" s="283"/>
      <c r="AH16" s="284"/>
      <c r="AI16" s="284"/>
      <c r="AJ16" s="285"/>
      <c r="AK16" s="283"/>
      <c r="AL16" s="284"/>
      <c r="AM16" s="284"/>
      <c r="AN16" s="285"/>
      <c r="AO16" s="283"/>
      <c r="AP16" s="284"/>
      <c r="AQ16" s="284"/>
      <c r="AR16" s="284"/>
      <c r="AS16" s="285"/>
      <c r="AT16" s="283"/>
      <c r="AU16" s="284"/>
      <c r="AV16" s="284"/>
      <c r="AW16" s="285"/>
      <c r="AX16" s="283"/>
      <c r="AY16" s="284"/>
      <c r="AZ16" s="284"/>
      <c r="BA16" s="284"/>
      <c r="BB16" s="284"/>
      <c r="BC16" s="286"/>
    </row>
    <row r="17" spans="1:55" ht="18">
      <c r="A17" s="66" t="s">
        <v>77</v>
      </c>
      <c r="B17" s="67"/>
      <c r="C17" s="68"/>
      <c r="D17" s="68"/>
      <c r="E17" s="68"/>
      <c r="F17" s="69"/>
      <c r="G17" s="67"/>
      <c r="H17" s="68"/>
      <c r="I17" s="68"/>
      <c r="J17" s="69"/>
      <c r="K17" s="67"/>
      <c r="L17" s="68"/>
      <c r="M17" s="68"/>
      <c r="N17" s="69"/>
      <c r="O17" s="67"/>
      <c r="P17" s="68"/>
      <c r="Q17" s="68"/>
      <c r="R17" s="69"/>
      <c r="S17" s="67"/>
      <c r="T17" s="68"/>
      <c r="U17" s="68"/>
      <c r="V17" s="68"/>
      <c r="W17" s="69"/>
      <c r="X17" s="67"/>
      <c r="Y17" s="68"/>
      <c r="Z17" s="68"/>
      <c r="AA17" s="69"/>
      <c r="AB17" s="67"/>
      <c r="AC17" s="68"/>
      <c r="AD17" s="68"/>
      <c r="AE17" s="68"/>
      <c r="AF17" s="69"/>
      <c r="AG17" s="67"/>
      <c r="AH17" s="68"/>
      <c r="AI17" s="68"/>
      <c r="AJ17" s="69"/>
      <c r="AK17" s="67"/>
      <c r="AL17" s="68"/>
      <c r="AM17" s="68"/>
      <c r="AN17" s="69"/>
      <c r="AO17" s="67"/>
      <c r="AP17" s="68"/>
      <c r="AQ17" s="68"/>
      <c r="AR17" s="68"/>
      <c r="AS17" s="69"/>
      <c r="AT17" s="67"/>
      <c r="AU17" s="68"/>
      <c r="AV17" s="68"/>
      <c r="AW17" s="69"/>
      <c r="AX17" s="67"/>
      <c r="AY17" s="68"/>
      <c r="AZ17" s="68"/>
      <c r="BA17" s="68"/>
      <c r="BB17" s="68"/>
      <c r="BC17" s="70">
        <f>SUM(AQ17:BB17)</f>
        <v>0</v>
      </c>
    </row>
    <row r="18" spans="1:55" s="45" customFormat="1" ht="13.5">
      <c r="A18" s="40"/>
      <c r="B18" s="53"/>
      <c r="C18" s="54"/>
      <c r="D18" s="54"/>
      <c r="E18" s="54"/>
      <c r="F18" s="52"/>
      <c r="G18" s="53"/>
      <c r="H18" s="54"/>
      <c r="I18" s="54"/>
      <c r="J18" s="52"/>
      <c r="K18" s="53"/>
      <c r="L18" s="54"/>
      <c r="M18" s="54"/>
      <c r="N18" s="52"/>
      <c r="O18" s="53"/>
      <c r="P18" s="54"/>
      <c r="Q18" s="54"/>
      <c r="R18" s="52"/>
      <c r="S18" s="53"/>
      <c r="T18" s="54"/>
      <c r="U18" s="54"/>
      <c r="V18" s="54"/>
      <c r="W18" s="52"/>
      <c r="X18" s="53"/>
      <c r="Y18" s="54"/>
      <c r="Z18" s="54"/>
      <c r="AA18" s="52"/>
      <c r="AB18" s="53"/>
      <c r="AC18" s="54"/>
      <c r="AD18" s="54"/>
      <c r="AE18" s="54"/>
      <c r="AF18" s="52"/>
      <c r="AG18" s="53"/>
      <c r="AH18" s="54"/>
      <c r="AI18" s="54"/>
      <c r="AJ18" s="52"/>
      <c r="AK18" s="53"/>
      <c r="AL18" s="54"/>
      <c r="AM18" s="54"/>
      <c r="AN18" s="52"/>
      <c r="AO18" s="53"/>
      <c r="AP18" s="54"/>
      <c r="AQ18" s="54"/>
      <c r="AR18" s="54"/>
      <c r="AS18" s="52"/>
      <c r="AT18" s="53"/>
      <c r="AU18" s="54"/>
      <c r="AV18" s="54"/>
      <c r="AW18" s="52"/>
      <c r="AX18" s="53"/>
      <c r="AY18" s="54"/>
      <c r="AZ18" s="54"/>
      <c r="BA18" s="54"/>
      <c r="BB18" s="54"/>
      <c r="BC18" s="55"/>
    </row>
    <row r="19" spans="1:55" s="45" customFormat="1" ht="12.75">
      <c r="A19" s="46" t="s">
        <v>157</v>
      </c>
      <c r="B19" s="53"/>
      <c r="C19" s="54"/>
      <c r="D19" s="54">
        <v>16793</v>
      </c>
      <c r="E19" s="54"/>
      <c r="F19" s="54">
        <v>16793</v>
      </c>
      <c r="G19" s="53"/>
      <c r="H19" s="54">
        <v>16793</v>
      </c>
      <c r="I19" s="54"/>
      <c r="J19" s="54">
        <v>16793</v>
      </c>
      <c r="K19" s="53"/>
      <c r="L19" s="54">
        <v>16793</v>
      </c>
      <c r="M19" s="54"/>
      <c r="N19" s="54">
        <v>16793</v>
      </c>
      <c r="O19" s="53"/>
      <c r="P19" s="54">
        <v>16793</v>
      </c>
      <c r="Q19" s="54"/>
      <c r="R19" s="52"/>
      <c r="S19" s="53"/>
      <c r="T19" s="54"/>
      <c r="U19" s="54"/>
      <c r="V19" s="54"/>
      <c r="W19" s="52"/>
      <c r="X19" s="53"/>
      <c r="Y19" s="54"/>
      <c r="Z19" s="54"/>
      <c r="AA19" s="52"/>
      <c r="AB19" s="53"/>
      <c r="AC19" s="54"/>
      <c r="AD19" s="54"/>
      <c r="AE19" s="54"/>
      <c r="AF19" s="52"/>
      <c r="AG19" s="53"/>
      <c r="AH19" s="54"/>
      <c r="AI19" s="54"/>
      <c r="AJ19" s="52"/>
      <c r="AK19" s="53"/>
      <c r="AL19" s="54"/>
      <c r="AM19" s="54"/>
      <c r="AN19" s="52"/>
      <c r="AO19" s="53"/>
      <c r="AP19" s="54"/>
      <c r="AQ19" s="54"/>
      <c r="AR19" s="54"/>
      <c r="AS19" s="52"/>
      <c r="AT19" s="53"/>
      <c r="AU19" s="54"/>
      <c r="AV19" s="54"/>
      <c r="AW19" s="52"/>
      <c r="AX19" s="53"/>
      <c r="AY19" s="54"/>
      <c r="AZ19" s="54"/>
      <c r="BA19" s="54"/>
      <c r="BB19" s="54"/>
      <c r="BC19" s="55">
        <f>SUM(AQ19:BB19)</f>
        <v>0</v>
      </c>
    </row>
    <row r="20" spans="1:55" s="45" customFormat="1" ht="12.75">
      <c r="A20" s="71" t="s">
        <v>272</v>
      </c>
      <c r="B20" s="72"/>
      <c r="C20" s="73"/>
      <c r="D20" s="73">
        <v>904</v>
      </c>
      <c r="E20" s="73"/>
      <c r="F20" s="73">
        <v>904</v>
      </c>
      <c r="G20" s="72"/>
      <c r="H20" s="73">
        <v>904</v>
      </c>
      <c r="I20" s="73"/>
      <c r="J20" s="74">
        <v>749</v>
      </c>
      <c r="K20" s="72"/>
      <c r="L20" s="73">
        <v>749</v>
      </c>
      <c r="M20" s="73"/>
      <c r="N20" s="74">
        <v>749</v>
      </c>
      <c r="O20" s="72"/>
      <c r="P20" s="73">
        <v>749</v>
      </c>
      <c r="Q20" s="73"/>
      <c r="R20" s="74"/>
      <c r="S20" s="72">
        <v>749</v>
      </c>
      <c r="T20" s="73"/>
      <c r="U20" s="73">
        <v>749</v>
      </c>
      <c r="V20" s="73"/>
      <c r="W20" s="74">
        <v>749</v>
      </c>
      <c r="X20" s="72"/>
      <c r="Y20" s="73">
        <v>749</v>
      </c>
      <c r="Z20" s="73"/>
      <c r="AA20" s="74">
        <v>749</v>
      </c>
      <c r="AB20" s="72"/>
      <c r="AC20" s="73">
        <v>749</v>
      </c>
      <c r="AD20" s="73"/>
      <c r="AE20" s="49"/>
      <c r="AF20" s="74">
        <v>749</v>
      </c>
      <c r="AG20" s="51"/>
      <c r="AH20" s="73">
        <v>749</v>
      </c>
      <c r="AI20" s="73"/>
      <c r="AJ20" s="74">
        <v>749</v>
      </c>
      <c r="AK20" s="72"/>
      <c r="AL20" s="73">
        <v>749</v>
      </c>
      <c r="AM20" s="73"/>
      <c r="AN20" s="74">
        <v>749</v>
      </c>
      <c r="AO20" s="72"/>
      <c r="AP20" s="73"/>
      <c r="AQ20" s="73">
        <v>749</v>
      </c>
      <c r="AR20" s="73"/>
      <c r="AS20" s="74">
        <v>749</v>
      </c>
      <c r="AT20" s="72"/>
      <c r="AU20" s="73">
        <v>749</v>
      </c>
      <c r="AV20" s="73"/>
      <c r="AW20" s="74">
        <v>749</v>
      </c>
      <c r="AX20" s="72"/>
      <c r="AY20" s="73">
        <v>749</v>
      </c>
      <c r="AZ20" s="73"/>
      <c r="BA20" s="73">
        <v>749</v>
      </c>
      <c r="BB20" s="73"/>
      <c r="BC20" s="55">
        <f>SUM(AQ20:BB20)</f>
        <v>4494</v>
      </c>
    </row>
    <row r="21" spans="1:55" s="45" customFormat="1" ht="12.75">
      <c r="A21" s="46" t="s">
        <v>158</v>
      </c>
      <c r="B21" s="72"/>
      <c r="C21" s="73"/>
      <c r="D21" s="73">
        <v>293</v>
      </c>
      <c r="E21" s="73"/>
      <c r="F21" s="73">
        <v>293</v>
      </c>
      <c r="G21" s="72"/>
      <c r="H21" s="73">
        <v>293</v>
      </c>
      <c r="I21" s="73"/>
      <c r="J21" s="74">
        <v>293</v>
      </c>
      <c r="K21" s="72"/>
      <c r="L21" s="73">
        <v>293</v>
      </c>
      <c r="M21" s="73"/>
      <c r="N21" s="74">
        <v>293</v>
      </c>
      <c r="O21" s="72"/>
      <c r="P21" s="73">
        <v>293</v>
      </c>
      <c r="Q21" s="73"/>
      <c r="R21" s="74"/>
      <c r="S21" s="72">
        <v>293</v>
      </c>
      <c r="T21" s="73"/>
      <c r="U21" s="73">
        <v>293</v>
      </c>
      <c r="V21" s="73"/>
      <c r="W21" s="74">
        <v>293</v>
      </c>
      <c r="X21" s="72"/>
      <c r="Y21" s="73">
        <v>293</v>
      </c>
      <c r="Z21" s="73"/>
      <c r="AA21" s="74">
        <v>293</v>
      </c>
      <c r="AB21" s="72"/>
      <c r="AC21" s="73">
        <v>293</v>
      </c>
      <c r="AD21" s="73"/>
      <c r="AE21" s="49"/>
      <c r="AF21" s="74">
        <v>293</v>
      </c>
      <c r="AG21" s="51"/>
      <c r="AH21" s="73">
        <v>293</v>
      </c>
      <c r="AI21" s="73"/>
      <c r="AJ21" s="74">
        <v>293</v>
      </c>
      <c r="AK21" s="72"/>
      <c r="AL21" s="73">
        <v>293</v>
      </c>
      <c r="AM21" s="73"/>
      <c r="AN21" s="74">
        <v>293</v>
      </c>
      <c r="AO21" s="72"/>
      <c r="AP21" s="73"/>
      <c r="AQ21" s="73">
        <v>293</v>
      </c>
      <c r="AR21" s="73"/>
      <c r="AS21" s="74">
        <v>293</v>
      </c>
      <c r="AT21" s="72"/>
      <c r="AU21" s="73">
        <v>293</v>
      </c>
      <c r="AV21" s="73"/>
      <c r="AW21" s="74">
        <v>293</v>
      </c>
      <c r="AX21" s="72"/>
      <c r="AY21" s="73">
        <v>293</v>
      </c>
      <c r="AZ21" s="73"/>
      <c r="BA21" s="73">
        <v>293</v>
      </c>
      <c r="BB21" s="73"/>
      <c r="BC21" s="55"/>
    </row>
    <row r="22" spans="1:55" s="45" customFormat="1" ht="12.75">
      <c r="A22" s="46" t="s">
        <v>159</v>
      </c>
      <c r="B22" s="72">
        <v>2300</v>
      </c>
      <c r="C22" s="73"/>
      <c r="D22" s="73"/>
      <c r="E22" s="73"/>
      <c r="F22" s="74"/>
      <c r="G22" s="72">
        <v>2300</v>
      </c>
      <c r="H22" s="73"/>
      <c r="I22" s="73"/>
      <c r="J22" s="74"/>
      <c r="K22" s="72">
        <v>2300</v>
      </c>
      <c r="L22" s="73"/>
      <c r="M22" s="73"/>
      <c r="N22" s="74"/>
      <c r="O22" s="72">
        <v>2300</v>
      </c>
      <c r="P22" s="73"/>
      <c r="Q22" s="73"/>
      <c r="R22" s="74"/>
      <c r="S22" s="72">
        <v>2300</v>
      </c>
      <c r="T22" s="73"/>
      <c r="U22" s="73"/>
      <c r="V22" s="73"/>
      <c r="W22" s="74"/>
      <c r="X22" s="72">
        <v>2300</v>
      </c>
      <c r="Y22" s="73"/>
      <c r="Z22" s="73"/>
      <c r="AA22" s="74"/>
      <c r="AB22" s="72">
        <v>2300</v>
      </c>
      <c r="AC22" s="73"/>
      <c r="AD22" s="73"/>
      <c r="AE22" s="73"/>
      <c r="AF22" s="74"/>
      <c r="AG22" s="72">
        <v>2300</v>
      </c>
      <c r="AH22" s="73"/>
      <c r="AI22" s="73"/>
      <c r="AJ22" s="74"/>
      <c r="AK22" s="72">
        <v>2300</v>
      </c>
      <c r="AL22" s="73"/>
      <c r="AM22" s="73"/>
      <c r="AN22" s="74"/>
      <c r="AO22" s="72">
        <v>2300</v>
      </c>
      <c r="AP22" s="73"/>
      <c r="AQ22" s="73"/>
      <c r="AR22" s="73"/>
      <c r="AS22" s="74"/>
      <c r="AT22" s="72">
        <v>2300</v>
      </c>
      <c r="AU22" s="73"/>
      <c r="AV22" s="73"/>
      <c r="AW22" s="74"/>
      <c r="AX22" s="72">
        <v>2300</v>
      </c>
      <c r="AY22" s="73"/>
      <c r="AZ22" s="73"/>
      <c r="BA22" s="73"/>
      <c r="BB22" s="73">
        <v>2300</v>
      </c>
      <c r="BC22" s="55">
        <f>SUM(AQ22:BB22)</f>
        <v>6900</v>
      </c>
    </row>
    <row r="23" spans="1:55" s="45" customFormat="1" ht="16.5" customHeight="1">
      <c r="A23" s="46" t="s">
        <v>160</v>
      </c>
      <c r="B23" s="72">
        <v>450</v>
      </c>
      <c r="C23" s="73"/>
      <c r="D23" s="73"/>
      <c r="E23" s="73"/>
      <c r="F23" s="74"/>
      <c r="G23" s="72">
        <v>450</v>
      </c>
      <c r="H23" s="73"/>
      <c r="I23" s="73"/>
      <c r="J23" s="74"/>
      <c r="K23" s="72">
        <v>450</v>
      </c>
      <c r="L23" s="73"/>
      <c r="M23" s="73"/>
      <c r="N23" s="74"/>
      <c r="O23" s="72">
        <v>450</v>
      </c>
      <c r="P23" s="73"/>
      <c r="Q23" s="73"/>
      <c r="R23" s="74"/>
      <c r="S23" s="72">
        <v>450</v>
      </c>
      <c r="T23" s="73"/>
      <c r="U23" s="73"/>
      <c r="V23" s="73"/>
      <c r="W23" s="74"/>
      <c r="X23" s="72">
        <v>450</v>
      </c>
      <c r="Y23" s="73"/>
      <c r="Z23" s="73"/>
      <c r="AA23" s="74"/>
      <c r="AB23" s="72">
        <v>450</v>
      </c>
      <c r="AC23" s="73"/>
      <c r="AD23" s="73"/>
      <c r="AE23" s="73"/>
      <c r="AF23" s="74"/>
      <c r="AG23" s="72">
        <v>450</v>
      </c>
      <c r="AH23" s="73"/>
      <c r="AI23" s="73"/>
      <c r="AJ23" s="74"/>
      <c r="AK23" s="72">
        <v>450</v>
      </c>
      <c r="AL23" s="73"/>
      <c r="AM23" s="73"/>
      <c r="AN23" s="74"/>
      <c r="AO23" s="72">
        <v>450</v>
      </c>
      <c r="AP23" s="73"/>
      <c r="AQ23" s="73"/>
      <c r="AR23" s="73"/>
      <c r="AS23" s="74"/>
      <c r="AT23" s="72">
        <v>450</v>
      </c>
      <c r="AU23" s="73"/>
      <c r="AV23" s="73"/>
      <c r="AW23" s="74"/>
      <c r="AX23" s="72">
        <v>450</v>
      </c>
      <c r="AY23" s="73"/>
      <c r="AZ23" s="73"/>
      <c r="BA23" s="73"/>
      <c r="BB23" s="73">
        <v>450</v>
      </c>
      <c r="BC23" s="55">
        <f>SUM(AQ23:BB23)</f>
        <v>1350</v>
      </c>
    </row>
    <row r="24" spans="1:55" s="45" customFormat="1" ht="15.75" customHeight="1">
      <c r="A24" s="46" t="s">
        <v>161</v>
      </c>
      <c r="B24" s="72">
        <v>1300</v>
      </c>
      <c r="C24" s="73"/>
      <c r="D24" s="73"/>
      <c r="E24" s="73"/>
      <c r="F24" s="74"/>
      <c r="G24" s="72">
        <v>1300</v>
      </c>
      <c r="H24" s="73"/>
      <c r="I24" s="73"/>
      <c r="J24" s="74"/>
      <c r="K24" s="72">
        <v>1300</v>
      </c>
      <c r="L24" s="73"/>
      <c r="M24" s="73"/>
      <c r="N24" s="74"/>
      <c r="O24" s="72">
        <v>1300</v>
      </c>
      <c r="P24" s="73"/>
      <c r="Q24" s="73"/>
      <c r="R24" s="74"/>
      <c r="S24" s="72">
        <v>1300</v>
      </c>
      <c r="T24" s="73"/>
      <c r="U24" s="73"/>
      <c r="V24" s="73"/>
      <c r="W24" s="74"/>
      <c r="X24" s="72">
        <v>1300</v>
      </c>
      <c r="Y24" s="73"/>
      <c r="Z24" s="73"/>
      <c r="AA24" s="74"/>
      <c r="AB24" s="72">
        <v>1300</v>
      </c>
      <c r="AC24" s="73"/>
      <c r="AD24" s="73"/>
      <c r="AE24" s="73"/>
      <c r="AF24" s="74"/>
      <c r="AG24" s="72">
        <v>1300</v>
      </c>
      <c r="AH24" s="73"/>
      <c r="AI24" s="73"/>
      <c r="AJ24" s="74"/>
      <c r="AK24" s="72">
        <v>1300</v>
      </c>
      <c r="AL24" s="73"/>
      <c r="AM24" s="73"/>
      <c r="AN24" s="74"/>
      <c r="AO24" s="72">
        <v>1300</v>
      </c>
      <c r="AP24" s="73"/>
      <c r="AQ24" s="73"/>
      <c r="AR24" s="73"/>
      <c r="AS24" s="74"/>
      <c r="AT24" s="72">
        <v>1300</v>
      </c>
      <c r="AU24" s="73"/>
      <c r="AV24" s="73"/>
      <c r="AW24" s="74"/>
      <c r="AX24" s="72">
        <v>1300</v>
      </c>
      <c r="AY24" s="73"/>
      <c r="AZ24" s="73"/>
      <c r="BA24" s="73"/>
      <c r="BB24" s="73">
        <v>1300</v>
      </c>
      <c r="BC24" s="55">
        <f>SUM(AQ24:BB24)</f>
        <v>3900</v>
      </c>
    </row>
    <row r="25" spans="1:55" s="93" customFormat="1" ht="18" customHeight="1">
      <c r="A25" s="88" t="s">
        <v>162</v>
      </c>
      <c r="B25" s="94">
        <f>SUM(B20:B24)</f>
        <v>4050</v>
      </c>
      <c r="C25" s="95">
        <f>SUM(C20:C24)</f>
        <v>0</v>
      </c>
      <c r="D25" s="95">
        <f>SUM(D19:D24)</f>
        <v>17990</v>
      </c>
      <c r="E25" s="95">
        <f aca="true" t="shared" si="5" ref="E25:AJ25">SUM(E20:E24)</f>
        <v>0</v>
      </c>
      <c r="F25" s="96">
        <f t="shared" si="5"/>
        <v>1197</v>
      </c>
      <c r="G25" s="94">
        <f t="shared" si="5"/>
        <v>4050</v>
      </c>
      <c r="H25" s="95">
        <f t="shared" si="5"/>
        <v>1197</v>
      </c>
      <c r="I25" s="95">
        <f t="shared" si="5"/>
        <v>0</v>
      </c>
      <c r="J25" s="96">
        <f t="shared" si="5"/>
        <v>1042</v>
      </c>
      <c r="K25" s="94">
        <f t="shared" si="5"/>
        <v>4050</v>
      </c>
      <c r="L25" s="95">
        <f t="shared" si="5"/>
        <v>1042</v>
      </c>
      <c r="M25" s="95">
        <f t="shared" si="5"/>
        <v>0</v>
      </c>
      <c r="N25" s="96">
        <f t="shared" si="5"/>
        <v>1042</v>
      </c>
      <c r="O25" s="94">
        <f t="shared" si="5"/>
        <v>4050</v>
      </c>
      <c r="P25" s="95">
        <f t="shared" si="5"/>
        <v>1042</v>
      </c>
      <c r="Q25" s="95">
        <f t="shared" si="5"/>
        <v>0</v>
      </c>
      <c r="R25" s="96">
        <f t="shared" si="5"/>
        <v>0</v>
      </c>
      <c r="S25" s="94">
        <f t="shared" si="5"/>
        <v>5092</v>
      </c>
      <c r="T25" s="95">
        <f t="shared" si="5"/>
        <v>0</v>
      </c>
      <c r="U25" s="95">
        <f t="shared" si="5"/>
        <v>1042</v>
      </c>
      <c r="V25" s="95">
        <f t="shared" si="5"/>
        <v>0</v>
      </c>
      <c r="W25" s="96">
        <f t="shared" si="5"/>
        <v>1042</v>
      </c>
      <c r="X25" s="94">
        <f t="shared" si="5"/>
        <v>4050</v>
      </c>
      <c r="Y25" s="95">
        <f t="shared" si="5"/>
        <v>1042</v>
      </c>
      <c r="Z25" s="95">
        <f t="shared" si="5"/>
        <v>0</v>
      </c>
      <c r="AA25" s="96">
        <f t="shared" si="5"/>
        <v>1042</v>
      </c>
      <c r="AB25" s="94">
        <f t="shared" si="5"/>
        <v>4050</v>
      </c>
      <c r="AC25" s="95">
        <f t="shared" si="5"/>
        <v>1042</v>
      </c>
      <c r="AD25" s="95">
        <f t="shared" si="5"/>
        <v>0</v>
      </c>
      <c r="AE25" s="95">
        <f t="shared" si="5"/>
        <v>0</v>
      </c>
      <c r="AF25" s="96">
        <f t="shared" si="5"/>
        <v>1042</v>
      </c>
      <c r="AG25" s="94">
        <f t="shared" si="5"/>
        <v>4050</v>
      </c>
      <c r="AH25" s="95">
        <f t="shared" si="5"/>
        <v>1042</v>
      </c>
      <c r="AI25" s="95">
        <f t="shared" si="5"/>
        <v>0</v>
      </c>
      <c r="AJ25" s="96">
        <f t="shared" si="5"/>
        <v>1042</v>
      </c>
      <c r="AK25" s="94">
        <f aca="true" t="shared" si="6" ref="AK25:BP25">SUM(AK20:AK24)</f>
        <v>4050</v>
      </c>
      <c r="AL25" s="95">
        <f t="shared" si="6"/>
        <v>1042</v>
      </c>
      <c r="AM25" s="95">
        <f t="shared" si="6"/>
        <v>0</v>
      </c>
      <c r="AN25" s="96">
        <f t="shared" si="6"/>
        <v>1042</v>
      </c>
      <c r="AO25" s="94">
        <f t="shared" si="6"/>
        <v>4050</v>
      </c>
      <c r="AP25" s="95">
        <f t="shared" si="6"/>
        <v>0</v>
      </c>
      <c r="AQ25" s="95">
        <f t="shared" si="6"/>
        <v>1042</v>
      </c>
      <c r="AR25" s="95">
        <f t="shared" si="6"/>
        <v>0</v>
      </c>
      <c r="AS25" s="96">
        <f t="shared" si="6"/>
        <v>1042</v>
      </c>
      <c r="AT25" s="94">
        <f t="shared" si="6"/>
        <v>4050</v>
      </c>
      <c r="AU25" s="95">
        <f t="shared" si="6"/>
        <v>1042</v>
      </c>
      <c r="AV25" s="95">
        <f t="shared" si="6"/>
        <v>0</v>
      </c>
      <c r="AW25" s="96">
        <f t="shared" si="6"/>
        <v>1042</v>
      </c>
      <c r="AX25" s="94">
        <f t="shared" si="6"/>
        <v>4050</v>
      </c>
      <c r="AY25" s="95">
        <f t="shared" si="6"/>
        <v>1042</v>
      </c>
      <c r="AZ25" s="95">
        <f t="shared" si="6"/>
        <v>0</v>
      </c>
      <c r="BA25" s="95">
        <f t="shared" si="6"/>
        <v>1042</v>
      </c>
      <c r="BB25" s="95">
        <f t="shared" si="6"/>
        <v>4050</v>
      </c>
      <c r="BC25" s="92"/>
    </row>
    <row r="26" spans="1:55" s="45" customFormat="1" ht="18" customHeight="1">
      <c r="A26" s="40"/>
      <c r="B26" s="53"/>
      <c r="C26" s="54"/>
      <c r="D26" s="54"/>
      <c r="E26" s="54"/>
      <c r="F26" s="52"/>
      <c r="G26" s="53"/>
      <c r="H26" s="54"/>
      <c r="I26" s="54"/>
      <c r="J26" s="52"/>
      <c r="K26" s="53"/>
      <c r="L26" s="54"/>
      <c r="M26" s="54"/>
      <c r="N26" s="52"/>
      <c r="O26" s="53"/>
      <c r="P26" s="54"/>
      <c r="Q26" s="54"/>
      <c r="R26" s="52"/>
      <c r="S26" s="53"/>
      <c r="T26" s="54"/>
      <c r="U26" s="54"/>
      <c r="V26" s="54"/>
      <c r="W26" s="52"/>
      <c r="X26" s="53"/>
      <c r="Y26" s="54"/>
      <c r="Z26" s="54"/>
      <c r="AA26" s="52"/>
      <c r="AB26" s="53"/>
      <c r="AC26" s="54"/>
      <c r="AD26" s="54"/>
      <c r="AE26" s="54"/>
      <c r="AF26" s="52"/>
      <c r="AG26" s="53"/>
      <c r="AH26" s="54"/>
      <c r="AI26" s="54"/>
      <c r="AJ26" s="52"/>
      <c r="AK26" s="53"/>
      <c r="AL26" s="54"/>
      <c r="AM26" s="54"/>
      <c r="AN26" s="52"/>
      <c r="AO26" s="53"/>
      <c r="AP26" s="54"/>
      <c r="AQ26" s="54"/>
      <c r="AR26" s="54"/>
      <c r="AS26" s="52"/>
      <c r="AT26" s="53"/>
      <c r="AU26" s="54"/>
      <c r="AV26" s="54"/>
      <c r="AW26" s="52"/>
      <c r="AX26" s="53"/>
      <c r="AY26" s="54"/>
      <c r="AZ26" s="54"/>
      <c r="BA26" s="54"/>
      <c r="BB26" s="54"/>
      <c r="BC26" s="55"/>
    </row>
    <row r="27" spans="1:55" s="45" customFormat="1" ht="15.75" customHeight="1">
      <c r="A27" s="40" t="s">
        <v>163</v>
      </c>
      <c r="B27" s="53"/>
      <c r="C27" s="54"/>
      <c r="D27" s="54"/>
      <c r="E27" s="54"/>
      <c r="F27" s="52"/>
      <c r="G27" s="53"/>
      <c r="H27" s="54"/>
      <c r="I27" s="54"/>
      <c r="J27" s="52"/>
      <c r="K27" s="53"/>
      <c r="L27" s="54"/>
      <c r="M27" s="54"/>
      <c r="N27" s="52"/>
      <c r="O27" s="53"/>
      <c r="P27" s="54"/>
      <c r="Q27" s="54"/>
      <c r="R27" s="52"/>
      <c r="S27" s="53"/>
      <c r="T27" s="54"/>
      <c r="U27" s="54"/>
      <c r="V27" s="54"/>
      <c r="W27" s="52"/>
      <c r="X27" s="53"/>
      <c r="Y27" s="54"/>
      <c r="Z27" s="54"/>
      <c r="AA27" s="52"/>
      <c r="AB27" s="53"/>
      <c r="AC27" s="54"/>
      <c r="AD27" s="54"/>
      <c r="AE27" s="54"/>
      <c r="AF27" s="52"/>
      <c r="AG27" s="53"/>
      <c r="AH27" s="54"/>
      <c r="AI27" s="54"/>
      <c r="AJ27" s="52"/>
      <c r="AK27" s="53"/>
      <c r="AL27" s="54"/>
      <c r="AM27" s="54"/>
      <c r="AN27" s="52"/>
      <c r="AO27" s="53"/>
      <c r="AP27" s="54"/>
      <c r="AQ27" s="54"/>
      <c r="AR27" s="54"/>
      <c r="AS27" s="52"/>
      <c r="AT27" s="53"/>
      <c r="AU27" s="54"/>
      <c r="AV27" s="54"/>
      <c r="AW27" s="52"/>
      <c r="AX27" s="53"/>
      <c r="AY27" s="54"/>
      <c r="AZ27" s="54"/>
      <c r="BA27" s="54"/>
      <c r="BB27" s="54"/>
      <c r="BC27" s="55"/>
    </row>
    <row r="28" spans="1:55" s="45" customFormat="1" ht="15.75" customHeight="1" hidden="1">
      <c r="A28" s="75" t="s">
        <v>297</v>
      </c>
      <c r="B28" s="51"/>
      <c r="C28" s="49"/>
      <c r="D28" s="76">
        <v>125</v>
      </c>
      <c r="E28" s="54"/>
      <c r="F28" s="52"/>
      <c r="G28" s="51"/>
      <c r="H28" s="49"/>
      <c r="I28" s="76">
        <v>125</v>
      </c>
      <c r="J28" s="52"/>
      <c r="K28" s="51"/>
      <c r="L28" s="49"/>
      <c r="M28" s="76">
        <v>125</v>
      </c>
      <c r="N28" s="52"/>
      <c r="O28" s="51"/>
      <c r="P28" s="49"/>
      <c r="Q28" s="76">
        <v>125</v>
      </c>
      <c r="R28" s="52"/>
      <c r="S28" s="51"/>
      <c r="T28" s="49"/>
      <c r="U28" s="76">
        <v>125</v>
      </c>
      <c r="V28" s="54"/>
      <c r="W28" s="52"/>
      <c r="X28" s="51"/>
      <c r="Y28" s="49"/>
      <c r="Z28" s="76">
        <v>125</v>
      </c>
      <c r="AA28" s="52"/>
      <c r="AB28" s="51"/>
      <c r="AC28" s="49"/>
      <c r="AD28" s="76">
        <v>125</v>
      </c>
      <c r="AE28" s="54"/>
      <c r="AF28" s="52"/>
      <c r="AG28" s="51"/>
      <c r="AH28" s="49"/>
      <c r="AI28" s="76">
        <v>125</v>
      </c>
      <c r="AJ28" s="52"/>
      <c r="AK28" s="51"/>
      <c r="AL28" s="49"/>
      <c r="AM28" s="76">
        <v>125</v>
      </c>
      <c r="AN28" s="52"/>
      <c r="AO28" s="51"/>
      <c r="AP28" s="49"/>
      <c r="AQ28" s="76">
        <v>125</v>
      </c>
      <c r="AR28" s="54"/>
      <c r="AS28" s="52"/>
      <c r="AT28" s="51"/>
      <c r="AU28" s="49"/>
      <c r="AV28" s="76">
        <v>125</v>
      </c>
      <c r="AW28" s="52"/>
      <c r="AX28" s="51"/>
      <c r="AY28" s="49"/>
      <c r="AZ28" s="76">
        <v>125</v>
      </c>
      <c r="BA28" s="54"/>
      <c r="BB28" s="54"/>
      <c r="BC28" s="55">
        <f aca="true" t="shared" si="7" ref="BC28:BC47">SUM(AQ28:BB28)</f>
        <v>375</v>
      </c>
    </row>
    <row r="29" spans="1:55" s="45" customFormat="1" ht="15.75" customHeight="1" hidden="1">
      <c r="A29" s="75" t="s">
        <v>298</v>
      </c>
      <c r="B29" s="51"/>
      <c r="C29" s="49"/>
      <c r="D29" s="76">
        <v>150</v>
      </c>
      <c r="E29" s="54"/>
      <c r="F29" s="52"/>
      <c r="G29" s="51"/>
      <c r="H29" s="49"/>
      <c r="I29" s="76">
        <v>150</v>
      </c>
      <c r="J29" s="52"/>
      <c r="K29" s="51"/>
      <c r="L29" s="49"/>
      <c r="M29" s="76">
        <v>150</v>
      </c>
      <c r="N29" s="52"/>
      <c r="O29" s="51"/>
      <c r="P29" s="49"/>
      <c r="Q29" s="76">
        <v>150</v>
      </c>
      <c r="R29" s="52"/>
      <c r="S29" s="51"/>
      <c r="T29" s="49"/>
      <c r="U29" s="76">
        <v>150</v>
      </c>
      <c r="V29" s="54"/>
      <c r="W29" s="52"/>
      <c r="X29" s="51"/>
      <c r="Y29" s="49"/>
      <c r="Z29" s="76">
        <v>150</v>
      </c>
      <c r="AA29" s="52"/>
      <c r="AB29" s="51"/>
      <c r="AC29" s="49"/>
      <c r="AD29" s="76">
        <v>150</v>
      </c>
      <c r="AE29" s="54"/>
      <c r="AF29" s="52"/>
      <c r="AG29" s="51"/>
      <c r="AH29" s="49"/>
      <c r="AI29" s="76">
        <v>150</v>
      </c>
      <c r="AJ29" s="52"/>
      <c r="AK29" s="51"/>
      <c r="AL29" s="49"/>
      <c r="AM29" s="76">
        <v>150</v>
      </c>
      <c r="AN29" s="52"/>
      <c r="AO29" s="51"/>
      <c r="AP29" s="49"/>
      <c r="AQ29" s="76">
        <v>150</v>
      </c>
      <c r="AR29" s="54"/>
      <c r="AS29" s="52"/>
      <c r="AT29" s="51"/>
      <c r="AU29" s="49"/>
      <c r="AV29" s="76">
        <v>150</v>
      </c>
      <c r="AW29" s="52"/>
      <c r="AX29" s="51"/>
      <c r="AY29" s="49"/>
      <c r="AZ29" s="76">
        <v>150</v>
      </c>
      <c r="BA29" s="54"/>
      <c r="BB29" s="54"/>
      <c r="BC29" s="55">
        <f t="shared" si="7"/>
        <v>450</v>
      </c>
    </row>
    <row r="30" spans="1:55" s="45" customFormat="1" ht="15.75" customHeight="1" hidden="1">
      <c r="A30" s="75" t="s">
        <v>299</v>
      </c>
      <c r="B30" s="51"/>
      <c r="C30" s="49"/>
      <c r="D30" s="76">
        <v>150</v>
      </c>
      <c r="E30" s="54"/>
      <c r="F30" s="52"/>
      <c r="G30" s="51"/>
      <c r="H30" s="49"/>
      <c r="I30" s="76">
        <v>150</v>
      </c>
      <c r="J30" s="52"/>
      <c r="K30" s="51"/>
      <c r="L30" s="49"/>
      <c r="M30" s="76">
        <v>150</v>
      </c>
      <c r="N30" s="52"/>
      <c r="O30" s="51"/>
      <c r="P30" s="49"/>
      <c r="Q30" s="76">
        <v>150</v>
      </c>
      <c r="R30" s="52"/>
      <c r="S30" s="51"/>
      <c r="T30" s="49"/>
      <c r="U30" s="76">
        <v>150</v>
      </c>
      <c r="V30" s="54"/>
      <c r="W30" s="52"/>
      <c r="X30" s="51"/>
      <c r="Y30" s="49"/>
      <c r="Z30" s="76">
        <v>150</v>
      </c>
      <c r="AA30" s="52"/>
      <c r="AB30" s="51"/>
      <c r="AC30" s="49"/>
      <c r="AD30" s="76">
        <v>150</v>
      </c>
      <c r="AE30" s="54"/>
      <c r="AF30" s="52"/>
      <c r="AG30" s="51"/>
      <c r="AH30" s="49"/>
      <c r="AI30" s="76">
        <v>150</v>
      </c>
      <c r="AJ30" s="52"/>
      <c r="AK30" s="51"/>
      <c r="AL30" s="49"/>
      <c r="AM30" s="76">
        <v>150</v>
      </c>
      <c r="AN30" s="52"/>
      <c r="AO30" s="51"/>
      <c r="AP30" s="49"/>
      <c r="AQ30" s="76">
        <v>150</v>
      </c>
      <c r="AR30" s="54"/>
      <c r="AS30" s="52"/>
      <c r="AT30" s="51"/>
      <c r="AU30" s="49"/>
      <c r="AV30" s="76">
        <v>150</v>
      </c>
      <c r="AW30" s="52"/>
      <c r="AX30" s="51"/>
      <c r="AY30" s="49"/>
      <c r="AZ30" s="76">
        <v>150</v>
      </c>
      <c r="BA30" s="54"/>
      <c r="BB30" s="54"/>
      <c r="BC30" s="55">
        <f t="shared" si="7"/>
        <v>450</v>
      </c>
    </row>
    <row r="31" spans="1:55" s="45" customFormat="1" ht="15.75" customHeight="1" hidden="1">
      <c r="A31" s="75" t="s">
        <v>300</v>
      </c>
      <c r="B31" s="51"/>
      <c r="C31" s="49"/>
      <c r="D31" s="76">
        <v>200</v>
      </c>
      <c r="E31" s="54"/>
      <c r="F31" s="52"/>
      <c r="G31" s="51"/>
      <c r="H31" s="49"/>
      <c r="I31" s="76">
        <v>200</v>
      </c>
      <c r="J31" s="52"/>
      <c r="K31" s="51"/>
      <c r="L31" s="49"/>
      <c r="M31" s="76">
        <v>200</v>
      </c>
      <c r="N31" s="52"/>
      <c r="O31" s="51"/>
      <c r="P31" s="49"/>
      <c r="Q31" s="76">
        <v>200</v>
      </c>
      <c r="R31" s="52"/>
      <c r="S31" s="51"/>
      <c r="T31" s="49"/>
      <c r="U31" s="76">
        <v>200</v>
      </c>
      <c r="V31" s="54"/>
      <c r="W31" s="52"/>
      <c r="X31" s="51"/>
      <c r="Y31" s="49"/>
      <c r="Z31" s="76">
        <v>200</v>
      </c>
      <c r="AA31" s="52"/>
      <c r="AB31" s="51"/>
      <c r="AC31" s="49"/>
      <c r="AD31" s="76">
        <v>200</v>
      </c>
      <c r="AE31" s="54"/>
      <c r="AF31" s="52"/>
      <c r="AG31" s="51"/>
      <c r="AH31" s="49"/>
      <c r="AI31" s="76">
        <v>200</v>
      </c>
      <c r="AJ31" s="52"/>
      <c r="AK31" s="51"/>
      <c r="AL31" s="49"/>
      <c r="AM31" s="76">
        <v>200</v>
      </c>
      <c r="AN31" s="52"/>
      <c r="AO31" s="51"/>
      <c r="AP31" s="49"/>
      <c r="AQ31" s="76">
        <v>200</v>
      </c>
      <c r="AR31" s="54"/>
      <c r="AS31" s="52"/>
      <c r="AT31" s="51"/>
      <c r="AU31" s="49"/>
      <c r="AV31" s="76">
        <v>200</v>
      </c>
      <c r="AW31" s="52"/>
      <c r="AX31" s="51"/>
      <c r="AY31" s="49"/>
      <c r="AZ31" s="76">
        <v>200</v>
      </c>
      <c r="BA31" s="54"/>
      <c r="BB31" s="54"/>
      <c r="BC31" s="55">
        <f t="shared" si="7"/>
        <v>600</v>
      </c>
    </row>
    <row r="32" spans="1:55" s="45" customFormat="1" ht="15.75" customHeight="1" hidden="1">
      <c r="A32" s="75" t="s">
        <v>54</v>
      </c>
      <c r="B32" s="51"/>
      <c r="C32" s="49"/>
      <c r="D32" s="76">
        <v>500</v>
      </c>
      <c r="E32" s="54"/>
      <c r="F32" s="52"/>
      <c r="G32" s="51"/>
      <c r="H32" s="49"/>
      <c r="I32" s="76">
        <v>500</v>
      </c>
      <c r="J32" s="52"/>
      <c r="K32" s="51"/>
      <c r="L32" s="49"/>
      <c r="M32" s="76">
        <v>500</v>
      </c>
      <c r="N32" s="52"/>
      <c r="O32" s="51"/>
      <c r="P32" s="49"/>
      <c r="Q32" s="76">
        <v>500</v>
      </c>
      <c r="R32" s="52"/>
      <c r="S32" s="51"/>
      <c r="T32" s="49"/>
      <c r="U32" s="76">
        <v>500</v>
      </c>
      <c r="V32" s="54"/>
      <c r="W32" s="52"/>
      <c r="X32" s="51"/>
      <c r="Y32" s="49"/>
      <c r="Z32" s="76">
        <v>500</v>
      </c>
      <c r="AA32" s="52"/>
      <c r="AB32" s="51"/>
      <c r="AC32" s="49"/>
      <c r="AD32" s="76">
        <v>500</v>
      </c>
      <c r="AE32" s="54"/>
      <c r="AF32" s="52"/>
      <c r="AG32" s="51"/>
      <c r="AH32" s="49"/>
      <c r="AI32" s="76">
        <v>500</v>
      </c>
      <c r="AJ32" s="52"/>
      <c r="AK32" s="51"/>
      <c r="AL32" s="49"/>
      <c r="AM32" s="76">
        <v>500</v>
      </c>
      <c r="AN32" s="52"/>
      <c r="AO32" s="51"/>
      <c r="AP32" s="49"/>
      <c r="AQ32" s="76">
        <v>500</v>
      </c>
      <c r="AR32" s="54"/>
      <c r="AS32" s="52"/>
      <c r="AT32" s="51"/>
      <c r="AU32" s="49"/>
      <c r="AV32" s="76">
        <v>500</v>
      </c>
      <c r="AW32" s="52"/>
      <c r="AX32" s="51"/>
      <c r="AY32" s="49"/>
      <c r="AZ32" s="76">
        <v>500</v>
      </c>
      <c r="BA32" s="54"/>
      <c r="BB32" s="54"/>
      <c r="BC32" s="55">
        <f t="shared" si="7"/>
        <v>1500</v>
      </c>
    </row>
    <row r="33" spans="1:55" s="45" customFormat="1" ht="15.75" customHeight="1" hidden="1">
      <c r="A33" s="75" t="s">
        <v>55</v>
      </c>
      <c r="B33" s="51"/>
      <c r="C33" s="49"/>
      <c r="D33" s="76">
        <v>200</v>
      </c>
      <c r="E33" s="54"/>
      <c r="F33" s="52"/>
      <c r="G33" s="51"/>
      <c r="H33" s="49"/>
      <c r="I33" s="76">
        <v>200</v>
      </c>
      <c r="J33" s="52"/>
      <c r="K33" s="51"/>
      <c r="L33" s="49"/>
      <c r="M33" s="76">
        <v>200</v>
      </c>
      <c r="N33" s="52"/>
      <c r="O33" s="51"/>
      <c r="P33" s="49"/>
      <c r="Q33" s="76">
        <v>200</v>
      </c>
      <c r="R33" s="52"/>
      <c r="S33" s="51"/>
      <c r="T33" s="49"/>
      <c r="U33" s="76">
        <v>200</v>
      </c>
      <c r="V33" s="54"/>
      <c r="W33" s="52"/>
      <c r="X33" s="51"/>
      <c r="Y33" s="49"/>
      <c r="Z33" s="76">
        <v>200</v>
      </c>
      <c r="AA33" s="52"/>
      <c r="AB33" s="51"/>
      <c r="AC33" s="49"/>
      <c r="AD33" s="76">
        <v>200</v>
      </c>
      <c r="AE33" s="54"/>
      <c r="AF33" s="52"/>
      <c r="AG33" s="51"/>
      <c r="AH33" s="49"/>
      <c r="AI33" s="76">
        <v>200</v>
      </c>
      <c r="AJ33" s="52"/>
      <c r="AK33" s="51"/>
      <c r="AL33" s="49"/>
      <c r="AM33" s="76">
        <v>200</v>
      </c>
      <c r="AN33" s="52"/>
      <c r="AO33" s="51"/>
      <c r="AP33" s="49"/>
      <c r="AQ33" s="76">
        <v>200</v>
      </c>
      <c r="AR33" s="54"/>
      <c r="AS33" s="52"/>
      <c r="AT33" s="51"/>
      <c r="AU33" s="49"/>
      <c r="AV33" s="76">
        <v>200</v>
      </c>
      <c r="AW33" s="52"/>
      <c r="AX33" s="51"/>
      <c r="AY33" s="49"/>
      <c r="AZ33" s="76">
        <v>200</v>
      </c>
      <c r="BA33" s="54"/>
      <c r="BB33" s="54"/>
      <c r="BC33" s="55">
        <f t="shared" si="7"/>
        <v>600</v>
      </c>
    </row>
    <row r="34" spans="1:55" s="45" customFormat="1" ht="15.75" customHeight="1" hidden="1">
      <c r="A34" s="75" t="s">
        <v>56</v>
      </c>
      <c r="B34" s="51"/>
      <c r="C34" s="49"/>
      <c r="D34" s="76">
        <v>1500</v>
      </c>
      <c r="E34" s="54"/>
      <c r="F34" s="52"/>
      <c r="G34" s="51"/>
      <c r="H34" s="49"/>
      <c r="I34" s="76">
        <v>1500</v>
      </c>
      <c r="J34" s="52"/>
      <c r="K34" s="51"/>
      <c r="L34" s="49"/>
      <c r="M34" s="76">
        <v>1500</v>
      </c>
      <c r="N34" s="52"/>
      <c r="O34" s="51"/>
      <c r="P34" s="49"/>
      <c r="Q34" s="76">
        <v>1500</v>
      </c>
      <c r="R34" s="52"/>
      <c r="S34" s="51"/>
      <c r="T34" s="49"/>
      <c r="U34" s="76">
        <v>1500</v>
      </c>
      <c r="V34" s="54"/>
      <c r="W34" s="52"/>
      <c r="X34" s="51"/>
      <c r="Y34" s="49"/>
      <c r="Z34" s="76">
        <v>1500</v>
      </c>
      <c r="AA34" s="52"/>
      <c r="AB34" s="51"/>
      <c r="AC34" s="49"/>
      <c r="AD34" s="76">
        <v>1500</v>
      </c>
      <c r="AE34" s="54"/>
      <c r="AF34" s="52"/>
      <c r="AG34" s="51"/>
      <c r="AH34" s="49"/>
      <c r="AI34" s="76">
        <v>1500</v>
      </c>
      <c r="AJ34" s="52"/>
      <c r="AK34" s="51"/>
      <c r="AL34" s="49"/>
      <c r="AM34" s="76">
        <v>1500</v>
      </c>
      <c r="AN34" s="52"/>
      <c r="AO34" s="51"/>
      <c r="AP34" s="49"/>
      <c r="AQ34" s="76">
        <v>1500</v>
      </c>
      <c r="AR34" s="54"/>
      <c r="AS34" s="52"/>
      <c r="AT34" s="51"/>
      <c r="AU34" s="49"/>
      <c r="AV34" s="76">
        <v>1500</v>
      </c>
      <c r="AW34" s="52"/>
      <c r="AX34" s="51"/>
      <c r="AY34" s="49"/>
      <c r="AZ34" s="76">
        <v>1500</v>
      </c>
      <c r="BA34" s="54"/>
      <c r="BB34" s="54"/>
      <c r="BC34" s="55">
        <f t="shared" si="7"/>
        <v>4500</v>
      </c>
    </row>
    <row r="35" spans="1:55" s="45" customFormat="1" ht="15.75" customHeight="1" hidden="1">
      <c r="A35" s="75" t="s">
        <v>57</v>
      </c>
      <c r="B35" s="51"/>
      <c r="C35" s="49"/>
      <c r="D35" s="76">
        <v>600</v>
      </c>
      <c r="E35" s="54"/>
      <c r="F35" s="52"/>
      <c r="G35" s="51"/>
      <c r="H35" s="49"/>
      <c r="I35" s="76">
        <v>600</v>
      </c>
      <c r="J35" s="52"/>
      <c r="K35" s="51"/>
      <c r="L35" s="49"/>
      <c r="M35" s="76">
        <v>600</v>
      </c>
      <c r="N35" s="52"/>
      <c r="O35" s="51"/>
      <c r="P35" s="49"/>
      <c r="Q35" s="76">
        <v>600</v>
      </c>
      <c r="R35" s="52"/>
      <c r="S35" s="51"/>
      <c r="T35" s="49"/>
      <c r="U35" s="76">
        <v>600</v>
      </c>
      <c r="V35" s="54"/>
      <c r="W35" s="52"/>
      <c r="X35" s="51"/>
      <c r="Y35" s="49"/>
      <c r="Z35" s="76">
        <v>600</v>
      </c>
      <c r="AA35" s="52"/>
      <c r="AB35" s="51"/>
      <c r="AC35" s="49"/>
      <c r="AD35" s="76">
        <v>600</v>
      </c>
      <c r="AE35" s="54"/>
      <c r="AF35" s="52"/>
      <c r="AG35" s="51"/>
      <c r="AH35" s="49"/>
      <c r="AI35" s="76">
        <v>600</v>
      </c>
      <c r="AJ35" s="52"/>
      <c r="AK35" s="51"/>
      <c r="AL35" s="49"/>
      <c r="AM35" s="76">
        <v>600</v>
      </c>
      <c r="AN35" s="52"/>
      <c r="AO35" s="51"/>
      <c r="AP35" s="49"/>
      <c r="AQ35" s="76">
        <v>600</v>
      </c>
      <c r="AR35" s="54"/>
      <c r="AS35" s="52"/>
      <c r="AT35" s="51"/>
      <c r="AU35" s="49"/>
      <c r="AV35" s="76">
        <v>600</v>
      </c>
      <c r="AW35" s="52"/>
      <c r="AX35" s="51"/>
      <c r="AY35" s="49"/>
      <c r="AZ35" s="76">
        <v>600</v>
      </c>
      <c r="BA35" s="54"/>
      <c r="BB35" s="54"/>
      <c r="BC35" s="55">
        <f t="shared" si="7"/>
        <v>1800</v>
      </c>
    </row>
    <row r="36" spans="1:55" s="45" customFormat="1" ht="15.75" customHeight="1" hidden="1">
      <c r="A36" s="75" t="s">
        <v>58</v>
      </c>
      <c r="B36" s="51"/>
      <c r="C36" s="49"/>
      <c r="D36" s="76">
        <v>300</v>
      </c>
      <c r="E36" s="54"/>
      <c r="F36" s="52"/>
      <c r="G36" s="51"/>
      <c r="H36" s="49"/>
      <c r="I36" s="76">
        <v>300</v>
      </c>
      <c r="J36" s="52"/>
      <c r="K36" s="51"/>
      <c r="L36" s="49"/>
      <c r="M36" s="76">
        <v>300</v>
      </c>
      <c r="N36" s="52"/>
      <c r="O36" s="51"/>
      <c r="P36" s="49"/>
      <c r="Q36" s="76">
        <v>300</v>
      </c>
      <c r="R36" s="52"/>
      <c r="S36" s="51"/>
      <c r="T36" s="49"/>
      <c r="U36" s="76">
        <v>300</v>
      </c>
      <c r="V36" s="54"/>
      <c r="W36" s="52"/>
      <c r="X36" s="51"/>
      <c r="Y36" s="49"/>
      <c r="Z36" s="76">
        <v>300</v>
      </c>
      <c r="AA36" s="52"/>
      <c r="AB36" s="51"/>
      <c r="AC36" s="49"/>
      <c r="AD36" s="76">
        <v>300</v>
      </c>
      <c r="AE36" s="54"/>
      <c r="AF36" s="52"/>
      <c r="AG36" s="51"/>
      <c r="AH36" s="49"/>
      <c r="AI36" s="76">
        <v>300</v>
      </c>
      <c r="AJ36" s="52"/>
      <c r="AK36" s="51"/>
      <c r="AL36" s="49"/>
      <c r="AM36" s="76">
        <v>300</v>
      </c>
      <c r="AN36" s="52"/>
      <c r="AO36" s="51"/>
      <c r="AP36" s="49"/>
      <c r="AQ36" s="76">
        <v>300</v>
      </c>
      <c r="AR36" s="54"/>
      <c r="AS36" s="52"/>
      <c r="AT36" s="51"/>
      <c r="AU36" s="49"/>
      <c r="AV36" s="76">
        <v>300</v>
      </c>
      <c r="AW36" s="52"/>
      <c r="AX36" s="51"/>
      <c r="AY36" s="49"/>
      <c r="AZ36" s="76">
        <v>300</v>
      </c>
      <c r="BA36" s="54"/>
      <c r="BB36" s="54"/>
      <c r="BC36" s="55">
        <f t="shared" si="7"/>
        <v>900</v>
      </c>
    </row>
    <row r="37" spans="1:55" s="45" customFormat="1" ht="15.75" customHeight="1" hidden="1">
      <c r="A37" s="75" t="s">
        <v>59</v>
      </c>
      <c r="B37" s="51"/>
      <c r="C37" s="49"/>
      <c r="D37" s="76">
        <v>50</v>
      </c>
      <c r="E37" s="54"/>
      <c r="F37" s="52"/>
      <c r="G37" s="51"/>
      <c r="H37" s="49"/>
      <c r="I37" s="76">
        <v>50</v>
      </c>
      <c r="J37" s="52"/>
      <c r="K37" s="51"/>
      <c r="L37" s="49"/>
      <c r="M37" s="76">
        <v>50</v>
      </c>
      <c r="N37" s="52"/>
      <c r="O37" s="51"/>
      <c r="P37" s="49"/>
      <c r="Q37" s="76">
        <v>50</v>
      </c>
      <c r="R37" s="52"/>
      <c r="S37" s="51"/>
      <c r="T37" s="49"/>
      <c r="U37" s="76">
        <v>50</v>
      </c>
      <c r="V37" s="54"/>
      <c r="W37" s="52"/>
      <c r="X37" s="51"/>
      <c r="Y37" s="49"/>
      <c r="Z37" s="76">
        <v>50</v>
      </c>
      <c r="AA37" s="52"/>
      <c r="AB37" s="51"/>
      <c r="AC37" s="49"/>
      <c r="AD37" s="76">
        <v>50</v>
      </c>
      <c r="AE37" s="54"/>
      <c r="AF37" s="52"/>
      <c r="AG37" s="51"/>
      <c r="AH37" s="49"/>
      <c r="AI37" s="76">
        <v>50</v>
      </c>
      <c r="AJ37" s="52"/>
      <c r="AK37" s="51"/>
      <c r="AL37" s="49"/>
      <c r="AM37" s="76">
        <v>50</v>
      </c>
      <c r="AN37" s="52"/>
      <c r="AO37" s="51"/>
      <c r="AP37" s="49"/>
      <c r="AQ37" s="76">
        <v>50</v>
      </c>
      <c r="AR37" s="54"/>
      <c r="AS37" s="52"/>
      <c r="AT37" s="51"/>
      <c r="AU37" s="49"/>
      <c r="AV37" s="76">
        <v>50</v>
      </c>
      <c r="AW37" s="52"/>
      <c r="AX37" s="51"/>
      <c r="AY37" s="49"/>
      <c r="AZ37" s="76">
        <v>50</v>
      </c>
      <c r="BA37" s="54"/>
      <c r="BB37" s="54"/>
      <c r="BC37" s="55">
        <f t="shared" si="7"/>
        <v>150</v>
      </c>
    </row>
    <row r="38" spans="1:55" s="45" customFormat="1" ht="15.75" customHeight="1" hidden="1">
      <c r="A38" s="75" t="s">
        <v>60</v>
      </c>
      <c r="B38" s="51"/>
      <c r="C38" s="49"/>
      <c r="D38" s="76">
        <v>500</v>
      </c>
      <c r="E38" s="54"/>
      <c r="F38" s="52"/>
      <c r="G38" s="51"/>
      <c r="H38" s="49"/>
      <c r="I38" s="76">
        <v>500</v>
      </c>
      <c r="J38" s="52"/>
      <c r="K38" s="51"/>
      <c r="L38" s="49"/>
      <c r="M38" s="76">
        <v>500</v>
      </c>
      <c r="N38" s="52"/>
      <c r="O38" s="51"/>
      <c r="P38" s="49"/>
      <c r="Q38" s="76">
        <v>500</v>
      </c>
      <c r="R38" s="52"/>
      <c r="S38" s="51"/>
      <c r="T38" s="49"/>
      <c r="U38" s="76">
        <v>500</v>
      </c>
      <c r="V38" s="54"/>
      <c r="W38" s="52"/>
      <c r="X38" s="51"/>
      <c r="Y38" s="49"/>
      <c r="Z38" s="76">
        <v>500</v>
      </c>
      <c r="AA38" s="52"/>
      <c r="AB38" s="51"/>
      <c r="AC38" s="49"/>
      <c r="AD38" s="76">
        <v>500</v>
      </c>
      <c r="AE38" s="54"/>
      <c r="AF38" s="52"/>
      <c r="AG38" s="51"/>
      <c r="AH38" s="49"/>
      <c r="AI38" s="76">
        <v>500</v>
      </c>
      <c r="AJ38" s="52"/>
      <c r="AK38" s="51"/>
      <c r="AL38" s="49"/>
      <c r="AM38" s="76">
        <v>500</v>
      </c>
      <c r="AN38" s="52"/>
      <c r="AO38" s="51"/>
      <c r="AP38" s="49"/>
      <c r="AQ38" s="76">
        <v>500</v>
      </c>
      <c r="AR38" s="54"/>
      <c r="AS38" s="52"/>
      <c r="AT38" s="51"/>
      <c r="AU38" s="49"/>
      <c r="AV38" s="76">
        <v>500</v>
      </c>
      <c r="AW38" s="52"/>
      <c r="AX38" s="51"/>
      <c r="AY38" s="49"/>
      <c r="AZ38" s="76">
        <v>500</v>
      </c>
      <c r="BA38" s="54"/>
      <c r="BB38" s="54"/>
      <c r="BC38" s="55">
        <f t="shared" si="7"/>
        <v>1500</v>
      </c>
    </row>
    <row r="39" spans="1:55" s="45" customFormat="1" ht="15.75" customHeight="1" hidden="1">
      <c r="A39" s="75" t="s">
        <v>61</v>
      </c>
      <c r="B39" s="77">
        <v>1200</v>
      </c>
      <c r="C39" s="76"/>
      <c r="D39" s="54"/>
      <c r="E39" s="54"/>
      <c r="F39" s="52"/>
      <c r="G39" s="77">
        <v>1200</v>
      </c>
      <c r="H39" s="76"/>
      <c r="I39" s="54"/>
      <c r="J39" s="52"/>
      <c r="K39" s="77">
        <v>1200</v>
      </c>
      <c r="L39" s="76"/>
      <c r="M39" s="54"/>
      <c r="N39" s="52"/>
      <c r="O39" s="77">
        <v>1200</v>
      </c>
      <c r="P39" s="76"/>
      <c r="Q39" s="54"/>
      <c r="R39" s="52"/>
      <c r="S39" s="77">
        <v>1200</v>
      </c>
      <c r="T39" s="76"/>
      <c r="U39" s="54"/>
      <c r="V39" s="54"/>
      <c r="W39" s="52"/>
      <c r="X39" s="77">
        <v>1200</v>
      </c>
      <c r="Y39" s="76"/>
      <c r="Z39" s="54"/>
      <c r="AA39" s="52"/>
      <c r="AB39" s="77">
        <v>1200</v>
      </c>
      <c r="AC39" s="76"/>
      <c r="AD39" s="54"/>
      <c r="AE39" s="54"/>
      <c r="AF39" s="52"/>
      <c r="AG39" s="77">
        <v>1200</v>
      </c>
      <c r="AH39" s="76"/>
      <c r="AI39" s="54"/>
      <c r="AJ39" s="52"/>
      <c r="AK39" s="77">
        <v>1200</v>
      </c>
      <c r="AL39" s="76"/>
      <c r="AM39" s="54"/>
      <c r="AN39" s="52"/>
      <c r="AO39" s="77">
        <v>1200</v>
      </c>
      <c r="AP39" s="76"/>
      <c r="AQ39" s="54"/>
      <c r="AR39" s="54"/>
      <c r="AS39" s="52"/>
      <c r="AT39" s="77">
        <v>1200</v>
      </c>
      <c r="AU39" s="76"/>
      <c r="AV39" s="54"/>
      <c r="AW39" s="52"/>
      <c r="AX39" s="77">
        <v>1200</v>
      </c>
      <c r="AY39" s="76"/>
      <c r="AZ39" s="54"/>
      <c r="BA39" s="54"/>
      <c r="BB39" s="76">
        <v>1200</v>
      </c>
      <c r="BC39" s="55">
        <f t="shared" si="7"/>
        <v>3600</v>
      </c>
    </row>
    <row r="40" spans="1:55" s="45" customFormat="1" ht="15.75" customHeight="1" hidden="1">
      <c r="A40" s="75" t="s">
        <v>62</v>
      </c>
      <c r="B40" s="77">
        <v>75</v>
      </c>
      <c r="C40" s="76"/>
      <c r="D40" s="54"/>
      <c r="E40" s="54"/>
      <c r="F40" s="52"/>
      <c r="G40" s="77">
        <v>75</v>
      </c>
      <c r="H40" s="76"/>
      <c r="I40" s="54"/>
      <c r="J40" s="52"/>
      <c r="K40" s="77">
        <v>75</v>
      </c>
      <c r="L40" s="76"/>
      <c r="M40" s="54"/>
      <c r="N40" s="52"/>
      <c r="O40" s="77">
        <v>75</v>
      </c>
      <c r="P40" s="76"/>
      <c r="Q40" s="54"/>
      <c r="R40" s="52"/>
      <c r="S40" s="77">
        <v>75</v>
      </c>
      <c r="T40" s="76"/>
      <c r="U40" s="54"/>
      <c r="V40" s="54"/>
      <c r="W40" s="52"/>
      <c r="X40" s="77">
        <v>75</v>
      </c>
      <c r="Y40" s="76"/>
      <c r="Z40" s="54"/>
      <c r="AA40" s="52"/>
      <c r="AB40" s="77">
        <v>75</v>
      </c>
      <c r="AC40" s="76"/>
      <c r="AD40" s="54"/>
      <c r="AE40" s="54"/>
      <c r="AF40" s="52"/>
      <c r="AG40" s="77">
        <v>75</v>
      </c>
      <c r="AH40" s="76"/>
      <c r="AI40" s="54"/>
      <c r="AJ40" s="52"/>
      <c r="AK40" s="77">
        <v>75</v>
      </c>
      <c r="AL40" s="76"/>
      <c r="AM40" s="54"/>
      <c r="AN40" s="52"/>
      <c r="AO40" s="77">
        <v>75</v>
      </c>
      <c r="AP40" s="76"/>
      <c r="AQ40" s="54"/>
      <c r="AR40" s="54"/>
      <c r="AS40" s="52"/>
      <c r="AT40" s="77">
        <v>75</v>
      </c>
      <c r="AU40" s="76"/>
      <c r="AV40" s="54"/>
      <c r="AW40" s="52"/>
      <c r="AX40" s="77">
        <v>75</v>
      </c>
      <c r="AY40" s="76"/>
      <c r="AZ40" s="54"/>
      <c r="BA40" s="54"/>
      <c r="BB40" s="76">
        <v>75</v>
      </c>
      <c r="BC40" s="55">
        <f t="shared" si="7"/>
        <v>225</v>
      </c>
    </row>
    <row r="41" spans="1:55" s="45" customFormat="1" ht="15.75" customHeight="1" hidden="1">
      <c r="A41" s="75" t="s">
        <v>63</v>
      </c>
      <c r="B41" s="77">
        <v>250</v>
      </c>
      <c r="C41" s="76"/>
      <c r="D41" s="54"/>
      <c r="E41" s="54"/>
      <c r="F41" s="52"/>
      <c r="G41" s="77">
        <v>250</v>
      </c>
      <c r="H41" s="76"/>
      <c r="I41" s="54"/>
      <c r="J41" s="52"/>
      <c r="K41" s="77">
        <v>250</v>
      </c>
      <c r="L41" s="76"/>
      <c r="M41" s="54"/>
      <c r="N41" s="52"/>
      <c r="O41" s="77">
        <v>250</v>
      </c>
      <c r="P41" s="76"/>
      <c r="Q41" s="54"/>
      <c r="R41" s="52"/>
      <c r="S41" s="77">
        <v>250</v>
      </c>
      <c r="T41" s="76"/>
      <c r="U41" s="54"/>
      <c r="V41" s="54"/>
      <c r="W41" s="52"/>
      <c r="X41" s="77">
        <v>250</v>
      </c>
      <c r="Y41" s="76"/>
      <c r="Z41" s="54"/>
      <c r="AA41" s="52"/>
      <c r="AB41" s="77">
        <v>250</v>
      </c>
      <c r="AC41" s="76"/>
      <c r="AD41" s="54"/>
      <c r="AE41" s="54"/>
      <c r="AF41" s="52"/>
      <c r="AG41" s="77">
        <v>250</v>
      </c>
      <c r="AH41" s="76"/>
      <c r="AI41" s="54"/>
      <c r="AJ41" s="52"/>
      <c r="AK41" s="77">
        <v>250</v>
      </c>
      <c r="AL41" s="76"/>
      <c r="AM41" s="54"/>
      <c r="AN41" s="52"/>
      <c r="AO41" s="77">
        <v>250</v>
      </c>
      <c r="AP41" s="76"/>
      <c r="AQ41" s="54"/>
      <c r="AR41" s="54"/>
      <c r="AS41" s="52"/>
      <c r="AT41" s="77">
        <v>250</v>
      </c>
      <c r="AU41" s="76"/>
      <c r="AV41" s="54"/>
      <c r="AW41" s="52"/>
      <c r="AX41" s="77">
        <v>250</v>
      </c>
      <c r="AY41" s="76"/>
      <c r="AZ41" s="54"/>
      <c r="BA41" s="54"/>
      <c r="BB41" s="76">
        <v>250</v>
      </c>
      <c r="BC41" s="55">
        <f t="shared" si="7"/>
        <v>750</v>
      </c>
    </row>
    <row r="42" spans="1:55" s="45" customFormat="1" ht="15.75" customHeight="1" hidden="1">
      <c r="A42" s="75" t="s">
        <v>64</v>
      </c>
      <c r="B42" s="77">
        <v>2000</v>
      </c>
      <c r="C42" s="76"/>
      <c r="D42" s="54"/>
      <c r="E42" s="54"/>
      <c r="F42" s="52"/>
      <c r="G42" s="77">
        <v>2000</v>
      </c>
      <c r="H42" s="76"/>
      <c r="I42" s="54"/>
      <c r="J42" s="52"/>
      <c r="K42" s="77">
        <v>2000</v>
      </c>
      <c r="L42" s="76"/>
      <c r="M42" s="54"/>
      <c r="N42" s="52"/>
      <c r="O42" s="77">
        <v>2000</v>
      </c>
      <c r="P42" s="76"/>
      <c r="Q42" s="54"/>
      <c r="R42" s="52"/>
      <c r="S42" s="77">
        <v>2000</v>
      </c>
      <c r="T42" s="76"/>
      <c r="U42" s="54"/>
      <c r="V42" s="54"/>
      <c r="W42" s="52"/>
      <c r="X42" s="77">
        <v>2000</v>
      </c>
      <c r="Y42" s="76"/>
      <c r="Z42" s="54"/>
      <c r="AA42" s="52"/>
      <c r="AB42" s="77">
        <v>2000</v>
      </c>
      <c r="AC42" s="76"/>
      <c r="AD42" s="54"/>
      <c r="AE42" s="54"/>
      <c r="AF42" s="52"/>
      <c r="AG42" s="77">
        <v>2000</v>
      </c>
      <c r="AH42" s="76"/>
      <c r="AI42" s="54"/>
      <c r="AJ42" s="52"/>
      <c r="AK42" s="77">
        <v>2000</v>
      </c>
      <c r="AL42" s="76"/>
      <c r="AM42" s="54"/>
      <c r="AN42" s="52"/>
      <c r="AO42" s="77">
        <v>2000</v>
      </c>
      <c r="AP42" s="76"/>
      <c r="AQ42" s="54"/>
      <c r="AR42" s="54"/>
      <c r="AS42" s="52"/>
      <c r="AT42" s="77">
        <v>2000</v>
      </c>
      <c r="AU42" s="76"/>
      <c r="AV42" s="54"/>
      <c r="AW42" s="52"/>
      <c r="AX42" s="77">
        <v>2000</v>
      </c>
      <c r="AY42" s="76"/>
      <c r="AZ42" s="54"/>
      <c r="BA42" s="54"/>
      <c r="BB42" s="76">
        <v>2000</v>
      </c>
      <c r="BC42" s="55">
        <f t="shared" si="7"/>
        <v>6000</v>
      </c>
    </row>
    <row r="43" spans="1:55" s="45" customFormat="1" ht="15.75" customHeight="1" hidden="1">
      <c r="A43" s="75" t="s">
        <v>65</v>
      </c>
      <c r="B43" s="77">
        <v>350</v>
      </c>
      <c r="C43" s="76"/>
      <c r="D43" s="54"/>
      <c r="E43" s="54"/>
      <c r="F43" s="52"/>
      <c r="G43" s="77">
        <v>350</v>
      </c>
      <c r="H43" s="76"/>
      <c r="I43" s="54"/>
      <c r="J43" s="52"/>
      <c r="K43" s="77">
        <v>350</v>
      </c>
      <c r="L43" s="76"/>
      <c r="M43" s="54"/>
      <c r="N43" s="52"/>
      <c r="O43" s="77">
        <v>350</v>
      </c>
      <c r="P43" s="76"/>
      <c r="Q43" s="54"/>
      <c r="R43" s="52"/>
      <c r="S43" s="77">
        <v>350</v>
      </c>
      <c r="T43" s="76"/>
      <c r="U43" s="54"/>
      <c r="V43" s="54"/>
      <c r="W43" s="52"/>
      <c r="X43" s="77">
        <v>350</v>
      </c>
      <c r="Y43" s="76"/>
      <c r="Z43" s="54"/>
      <c r="AA43" s="52"/>
      <c r="AB43" s="77">
        <v>350</v>
      </c>
      <c r="AC43" s="76"/>
      <c r="AD43" s="54"/>
      <c r="AE43" s="54"/>
      <c r="AF43" s="52"/>
      <c r="AG43" s="77">
        <v>350</v>
      </c>
      <c r="AH43" s="76"/>
      <c r="AI43" s="54"/>
      <c r="AJ43" s="52"/>
      <c r="AK43" s="77">
        <v>350</v>
      </c>
      <c r="AL43" s="76"/>
      <c r="AM43" s="54"/>
      <c r="AN43" s="52"/>
      <c r="AO43" s="77">
        <v>350</v>
      </c>
      <c r="AP43" s="76"/>
      <c r="AQ43" s="54"/>
      <c r="AR43" s="54"/>
      <c r="AS43" s="52"/>
      <c r="AT43" s="77">
        <v>350</v>
      </c>
      <c r="AU43" s="76"/>
      <c r="AV43" s="54"/>
      <c r="AW43" s="52"/>
      <c r="AX43" s="77">
        <v>350</v>
      </c>
      <c r="AY43" s="76"/>
      <c r="AZ43" s="54"/>
      <c r="BA43" s="54"/>
      <c r="BB43" s="76">
        <v>350</v>
      </c>
      <c r="BC43" s="55">
        <f t="shared" si="7"/>
        <v>1050</v>
      </c>
    </row>
    <row r="44" spans="1:55" s="45" customFormat="1" ht="15.75" customHeight="1" hidden="1">
      <c r="A44" s="75" t="s">
        <v>66</v>
      </c>
      <c r="B44" s="77">
        <v>40</v>
      </c>
      <c r="C44" s="76"/>
      <c r="D44" s="54"/>
      <c r="E44" s="54"/>
      <c r="F44" s="52"/>
      <c r="G44" s="77">
        <v>40</v>
      </c>
      <c r="H44" s="76"/>
      <c r="I44" s="54"/>
      <c r="J44" s="52"/>
      <c r="K44" s="77">
        <v>40</v>
      </c>
      <c r="L44" s="76"/>
      <c r="M44" s="54"/>
      <c r="N44" s="52"/>
      <c r="O44" s="77">
        <v>40</v>
      </c>
      <c r="P44" s="76"/>
      <c r="Q44" s="54"/>
      <c r="R44" s="52"/>
      <c r="S44" s="77">
        <v>40</v>
      </c>
      <c r="T44" s="76"/>
      <c r="U44" s="54"/>
      <c r="V44" s="54"/>
      <c r="W44" s="52"/>
      <c r="X44" s="77">
        <v>40</v>
      </c>
      <c r="Y44" s="76"/>
      <c r="Z44" s="54"/>
      <c r="AA44" s="52"/>
      <c r="AB44" s="77">
        <v>40</v>
      </c>
      <c r="AC44" s="76"/>
      <c r="AD44" s="54"/>
      <c r="AE44" s="54"/>
      <c r="AF44" s="52"/>
      <c r="AG44" s="77">
        <v>40</v>
      </c>
      <c r="AH44" s="76"/>
      <c r="AI44" s="54"/>
      <c r="AJ44" s="52"/>
      <c r="AK44" s="77">
        <v>40</v>
      </c>
      <c r="AL44" s="76"/>
      <c r="AM44" s="54"/>
      <c r="AN44" s="52"/>
      <c r="AO44" s="77">
        <v>40</v>
      </c>
      <c r="AP44" s="76"/>
      <c r="AQ44" s="54"/>
      <c r="AR44" s="54"/>
      <c r="AS44" s="52"/>
      <c r="AT44" s="77">
        <v>40</v>
      </c>
      <c r="AU44" s="76"/>
      <c r="AV44" s="54"/>
      <c r="AW44" s="52"/>
      <c r="AX44" s="77">
        <v>40</v>
      </c>
      <c r="AY44" s="76"/>
      <c r="AZ44" s="54"/>
      <c r="BA44" s="54"/>
      <c r="BB44" s="76">
        <v>40</v>
      </c>
      <c r="BC44" s="55">
        <f t="shared" si="7"/>
        <v>120</v>
      </c>
    </row>
    <row r="45" spans="1:55" s="45" customFormat="1" ht="15.75" customHeight="1" hidden="1">
      <c r="A45" s="75" t="s">
        <v>67</v>
      </c>
      <c r="B45" s="77">
        <v>250</v>
      </c>
      <c r="C45" s="76"/>
      <c r="D45" s="54"/>
      <c r="E45" s="54"/>
      <c r="F45" s="52"/>
      <c r="G45" s="77">
        <v>250</v>
      </c>
      <c r="H45" s="76"/>
      <c r="I45" s="54"/>
      <c r="J45" s="52"/>
      <c r="K45" s="77">
        <v>250</v>
      </c>
      <c r="L45" s="76"/>
      <c r="M45" s="54"/>
      <c r="N45" s="52"/>
      <c r="O45" s="77">
        <v>250</v>
      </c>
      <c r="P45" s="76"/>
      <c r="Q45" s="54"/>
      <c r="R45" s="52"/>
      <c r="S45" s="77">
        <v>250</v>
      </c>
      <c r="T45" s="76"/>
      <c r="U45" s="54"/>
      <c r="V45" s="54"/>
      <c r="W45" s="52"/>
      <c r="X45" s="77">
        <v>250</v>
      </c>
      <c r="Y45" s="76"/>
      <c r="Z45" s="54"/>
      <c r="AA45" s="52"/>
      <c r="AB45" s="77">
        <v>250</v>
      </c>
      <c r="AC45" s="76"/>
      <c r="AD45" s="54"/>
      <c r="AE45" s="54"/>
      <c r="AF45" s="52"/>
      <c r="AG45" s="77">
        <v>250</v>
      </c>
      <c r="AH45" s="76"/>
      <c r="AI45" s="54"/>
      <c r="AJ45" s="52"/>
      <c r="AK45" s="77">
        <v>250</v>
      </c>
      <c r="AL45" s="76"/>
      <c r="AM45" s="54"/>
      <c r="AN45" s="52"/>
      <c r="AO45" s="77">
        <v>250</v>
      </c>
      <c r="AP45" s="76"/>
      <c r="AQ45" s="54"/>
      <c r="AR45" s="54"/>
      <c r="AS45" s="52"/>
      <c r="AT45" s="77">
        <v>250</v>
      </c>
      <c r="AU45" s="76"/>
      <c r="AV45" s="54"/>
      <c r="AW45" s="52"/>
      <c r="AX45" s="77">
        <v>250</v>
      </c>
      <c r="AY45" s="76"/>
      <c r="AZ45" s="54"/>
      <c r="BA45" s="54"/>
      <c r="BB45" s="76">
        <v>250</v>
      </c>
      <c r="BC45" s="55">
        <f t="shared" si="7"/>
        <v>750</v>
      </c>
    </row>
    <row r="46" spans="1:55" s="45" customFormat="1" ht="15.75" customHeight="1" hidden="1">
      <c r="A46" s="75" t="s">
        <v>68</v>
      </c>
      <c r="B46" s="77">
        <v>300</v>
      </c>
      <c r="C46" s="76"/>
      <c r="D46" s="54"/>
      <c r="E46" s="54"/>
      <c r="F46" s="52"/>
      <c r="G46" s="77">
        <v>300</v>
      </c>
      <c r="H46" s="76"/>
      <c r="I46" s="54"/>
      <c r="J46" s="52"/>
      <c r="K46" s="77">
        <v>300</v>
      </c>
      <c r="L46" s="76"/>
      <c r="M46" s="54"/>
      <c r="N46" s="52"/>
      <c r="O46" s="77">
        <v>300</v>
      </c>
      <c r="P46" s="76"/>
      <c r="Q46" s="54"/>
      <c r="R46" s="52"/>
      <c r="S46" s="77">
        <v>300</v>
      </c>
      <c r="T46" s="76"/>
      <c r="U46" s="54"/>
      <c r="V46" s="54"/>
      <c r="W46" s="52"/>
      <c r="X46" s="77">
        <v>300</v>
      </c>
      <c r="Y46" s="76"/>
      <c r="Z46" s="54"/>
      <c r="AA46" s="52"/>
      <c r="AB46" s="77">
        <v>300</v>
      </c>
      <c r="AC46" s="76"/>
      <c r="AD46" s="54"/>
      <c r="AE46" s="54"/>
      <c r="AF46" s="52"/>
      <c r="AG46" s="77">
        <v>300</v>
      </c>
      <c r="AH46" s="76"/>
      <c r="AI46" s="54"/>
      <c r="AJ46" s="52"/>
      <c r="AK46" s="77">
        <v>300</v>
      </c>
      <c r="AL46" s="76"/>
      <c r="AM46" s="54"/>
      <c r="AN46" s="52"/>
      <c r="AO46" s="77">
        <v>300</v>
      </c>
      <c r="AP46" s="76"/>
      <c r="AQ46" s="54"/>
      <c r="AR46" s="54"/>
      <c r="AS46" s="52"/>
      <c r="AT46" s="77">
        <v>300</v>
      </c>
      <c r="AU46" s="76"/>
      <c r="AV46" s="54"/>
      <c r="AW46" s="52"/>
      <c r="AX46" s="77">
        <v>300</v>
      </c>
      <c r="AY46" s="76"/>
      <c r="AZ46" s="54"/>
      <c r="BA46" s="54"/>
      <c r="BB46" s="76">
        <v>300</v>
      </c>
      <c r="BC46" s="55">
        <f t="shared" si="7"/>
        <v>900</v>
      </c>
    </row>
    <row r="47" spans="1:55" s="45" customFormat="1" ht="12.75" hidden="1">
      <c r="A47" s="75" t="s">
        <v>235</v>
      </c>
      <c r="B47" s="77">
        <v>700</v>
      </c>
      <c r="C47" s="76"/>
      <c r="D47" s="54"/>
      <c r="E47" s="54"/>
      <c r="F47" s="52"/>
      <c r="G47" s="77">
        <v>700</v>
      </c>
      <c r="H47" s="76"/>
      <c r="I47" s="54"/>
      <c r="J47" s="52"/>
      <c r="K47" s="77">
        <v>700</v>
      </c>
      <c r="L47" s="76"/>
      <c r="M47" s="54"/>
      <c r="N47" s="52"/>
      <c r="O47" s="77">
        <v>700</v>
      </c>
      <c r="P47" s="76"/>
      <c r="Q47" s="54"/>
      <c r="R47" s="52"/>
      <c r="S47" s="77">
        <v>700</v>
      </c>
      <c r="T47" s="76"/>
      <c r="U47" s="54"/>
      <c r="V47" s="54"/>
      <c r="W47" s="52"/>
      <c r="X47" s="77">
        <v>700</v>
      </c>
      <c r="Y47" s="76"/>
      <c r="Z47" s="54"/>
      <c r="AA47" s="52"/>
      <c r="AB47" s="77">
        <v>700</v>
      </c>
      <c r="AC47" s="76"/>
      <c r="AD47" s="54"/>
      <c r="AE47" s="54"/>
      <c r="AF47" s="52"/>
      <c r="AG47" s="77">
        <v>700</v>
      </c>
      <c r="AH47" s="76"/>
      <c r="AI47" s="54"/>
      <c r="AJ47" s="52"/>
      <c r="AK47" s="77">
        <v>700</v>
      </c>
      <c r="AL47" s="76"/>
      <c r="AM47" s="54"/>
      <c r="AN47" s="52"/>
      <c r="AO47" s="77">
        <v>700</v>
      </c>
      <c r="AP47" s="76"/>
      <c r="AQ47" s="54"/>
      <c r="AR47" s="54"/>
      <c r="AS47" s="52"/>
      <c r="AT47" s="77">
        <v>700</v>
      </c>
      <c r="AU47" s="76"/>
      <c r="AV47" s="54"/>
      <c r="AW47" s="52"/>
      <c r="AX47" s="77">
        <v>700</v>
      </c>
      <c r="AY47" s="76"/>
      <c r="AZ47" s="54"/>
      <c r="BA47" s="54"/>
      <c r="BB47" s="76">
        <v>700</v>
      </c>
      <c r="BC47" s="55">
        <f t="shared" si="7"/>
        <v>2100</v>
      </c>
    </row>
    <row r="48" spans="1:55" s="93" customFormat="1" ht="18" customHeight="1">
      <c r="A48" s="88" t="s">
        <v>164</v>
      </c>
      <c r="B48" s="89">
        <f aca="true" t="shared" si="8" ref="B48:AG48">SUM(B28:B47)</f>
        <v>5165</v>
      </c>
      <c r="C48" s="90">
        <f t="shared" si="8"/>
        <v>0</v>
      </c>
      <c r="D48" s="90">
        <f t="shared" si="8"/>
        <v>4275</v>
      </c>
      <c r="E48" s="90">
        <f t="shared" si="8"/>
        <v>0</v>
      </c>
      <c r="F48" s="91">
        <f t="shared" si="8"/>
        <v>0</v>
      </c>
      <c r="G48" s="89">
        <f t="shared" si="8"/>
        <v>5165</v>
      </c>
      <c r="H48" s="90">
        <f t="shared" si="8"/>
        <v>0</v>
      </c>
      <c r="I48" s="90">
        <f t="shared" si="8"/>
        <v>4275</v>
      </c>
      <c r="J48" s="91">
        <f t="shared" si="8"/>
        <v>0</v>
      </c>
      <c r="K48" s="89">
        <f t="shared" si="8"/>
        <v>5165</v>
      </c>
      <c r="L48" s="90">
        <f t="shared" si="8"/>
        <v>0</v>
      </c>
      <c r="M48" s="90">
        <f t="shared" si="8"/>
        <v>4275</v>
      </c>
      <c r="N48" s="91">
        <f t="shared" si="8"/>
        <v>0</v>
      </c>
      <c r="O48" s="89">
        <f t="shared" si="8"/>
        <v>5165</v>
      </c>
      <c r="P48" s="90">
        <f t="shared" si="8"/>
        <v>0</v>
      </c>
      <c r="Q48" s="90">
        <f t="shared" si="8"/>
        <v>4275</v>
      </c>
      <c r="R48" s="91">
        <f t="shared" si="8"/>
        <v>0</v>
      </c>
      <c r="S48" s="89">
        <f t="shared" si="8"/>
        <v>5165</v>
      </c>
      <c r="T48" s="90">
        <f t="shared" si="8"/>
        <v>0</v>
      </c>
      <c r="U48" s="90">
        <f t="shared" si="8"/>
        <v>4275</v>
      </c>
      <c r="V48" s="90">
        <f t="shared" si="8"/>
        <v>0</v>
      </c>
      <c r="W48" s="91">
        <f t="shared" si="8"/>
        <v>0</v>
      </c>
      <c r="X48" s="89">
        <f t="shared" si="8"/>
        <v>5165</v>
      </c>
      <c r="Y48" s="90">
        <f t="shared" si="8"/>
        <v>0</v>
      </c>
      <c r="Z48" s="90">
        <f t="shared" si="8"/>
        <v>4275</v>
      </c>
      <c r="AA48" s="91">
        <f t="shared" si="8"/>
        <v>0</v>
      </c>
      <c r="AB48" s="89">
        <f t="shared" si="8"/>
        <v>5165</v>
      </c>
      <c r="AC48" s="90">
        <f t="shared" si="8"/>
        <v>0</v>
      </c>
      <c r="AD48" s="90">
        <f t="shared" si="8"/>
        <v>4275</v>
      </c>
      <c r="AE48" s="90">
        <f t="shared" si="8"/>
        <v>0</v>
      </c>
      <c r="AF48" s="91">
        <f t="shared" si="8"/>
        <v>0</v>
      </c>
      <c r="AG48" s="89">
        <f t="shared" si="8"/>
        <v>5165</v>
      </c>
      <c r="AH48" s="90">
        <f aca="true" t="shared" si="9" ref="AH48:BB48">SUM(AH28:AH47)</f>
        <v>0</v>
      </c>
      <c r="AI48" s="90">
        <f t="shared" si="9"/>
        <v>4275</v>
      </c>
      <c r="AJ48" s="91">
        <f t="shared" si="9"/>
        <v>0</v>
      </c>
      <c r="AK48" s="89">
        <f t="shared" si="9"/>
        <v>5165</v>
      </c>
      <c r="AL48" s="90">
        <f t="shared" si="9"/>
        <v>0</v>
      </c>
      <c r="AM48" s="90">
        <f t="shared" si="9"/>
        <v>4275</v>
      </c>
      <c r="AN48" s="91">
        <f t="shared" si="9"/>
        <v>0</v>
      </c>
      <c r="AO48" s="89">
        <f t="shared" si="9"/>
        <v>5165</v>
      </c>
      <c r="AP48" s="90">
        <f t="shared" si="9"/>
        <v>0</v>
      </c>
      <c r="AQ48" s="90">
        <f t="shared" si="9"/>
        <v>4275</v>
      </c>
      <c r="AR48" s="90">
        <f t="shared" si="9"/>
        <v>0</v>
      </c>
      <c r="AS48" s="91">
        <f t="shared" si="9"/>
        <v>0</v>
      </c>
      <c r="AT48" s="89">
        <f t="shared" si="9"/>
        <v>5165</v>
      </c>
      <c r="AU48" s="90">
        <f t="shared" si="9"/>
        <v>0</v>
      </c>
      <c r="AV48" s="90">
        <f t="shared" si="9"/>
        <v>4275</v>
      </c>
      <c r="AW48" s="91">
        <f t="shared" si="9"/>
        <v>0</v>
      </c>
      <c r="AX48" s="89">
        <f t="shared" si="9"/>
        <v>5165</v>
      </c>
      <c r="AY48" s="90">
        <f t="shared" si="9"/>
        <v>0</v>
      </c>
      <c r="AZ48" s="90">
        <f t="shared" si="9"/>
        <v>4275</v>
      </c>
      <c r="BA48" s="90">
        <f t="shared" si="9"/>
        <v>0</v>
      </c>
      <c r="BB48" s="90">
        <f t="shared" si="9"/>
        <v>5165</v>
      </c>
      <c r="BC48" s="92"/>
    </row>
    <row r="49" spans="1:55" s="45" customFormat="1" ht="15" customHeight="1">
      <c r="A49" s="40"/>
      <c r="B49" s="47"/>
      <c r="C49" s="48"/>
      <c r="D49" s="54"/>
      <c r="E49" s="54"/>
      <c r="F49" s="52"/>
      <c r="G49" s="53"/>
      <c r="H49" s="54"/>
      <c r="I49" s="54"/>
      <c r="J49" s="52"/>
      <c r="K49" s="53"/>
      <c r="L49" s="54"/>
      <c r="M49" s="54"/>
      <c r="N49" s="52"/>
      <c r="O49" s="53"/>
      <c r="P49" s="54"/>
      <c r="Q49" s="54"/>
      <c r="R49" s="52"/>
      <c r="S49" s="53"/>
      <c r="T49" s="54"/>
      <c r="U49" s="54"/>
      <c r="V49" s="54"/>
      <c r="W49" s="52"/>
      <c r="X49" s="53"/>
      <c r="Y49" s="54"/>
      <c r="Z49" s="54"/>
      <c r="AA49" s="52"/>
      <c r="AB49" s="53"/>
      <c r="AC49" s="54"/>
      <c r="AD49" s="54"/>
      <c r="AE49" s="54"/>
      <c r="AF49" s="52"/>
      <c r="AG49" s="53"/>
      <c r="AH49" s="54"/>
      <c r="AI49" s="54"/>
      <c r="AJ49" s="52"/>
      <c r="AK49" s="53"/>
      <c r="AL49" s="54"/>
      <c r="AM49" s="54"/>
      <c r="AN49" s="52"/>
      <c r="AO49" s="53"/>
      <c r="AP49" s="54"/>
      <c r="AQ49" s="54"/>
      <c r="AR49" s="54"/>
      <c r="AS49" s="52"/>
      <c r="AT49" s="53"/>
      <c r="AU49" s="54"/>
      <c r="AV49" s="54"/>
      <c r="AW49" s="52"/>
      <c r="AX49" s="53"/>
      <c r="AY49" s="54"/>
      <c r="AZ49" s="54"/>
      <c r="BA49" s="54"/>
      <c r="BB49" s="54"/>
      <c r="BC49" s="55"/>
    </row>
    <row r="50" spans="1:55" s="45" customFormat="1" ht="15.75" customHeight="1">
      <c r="A50" s="40" t="s">
        <v>165</v>
      </c>
      <c r="B50" s="47"/>
      <c r="C50" s="48"/>
      <c r="D50" s="54"/>
      <c r="E50" s="54"/>
      <c r="F50" s="52"/>
      <c r="G50" s="53"/>
      <c r="H50" s="54"/>
      <c r="I50" s="54"/>
      <c r="J50" s="52"/>
      <c r="K50" s="53"/>
      <c r="L50" s="54"/>
      <c r="M50" s="54"/>
      <c r="N50" s="52"/>
      <c r="O50" s="53"/>
      <c r="P50" s="54"/>
      <c r="Q50" s="54"/>
      <c r="R50" s="52"/>
      <c r="S50" s="53"/>
      <c r="T50" s="54"/>
      <c r="U50" s="54"/>
      <c r="V50" s="54"/>
      <c r="W50" s="52"/>
      <c r="X50" s="53"/>
      <c r="Y50" s="54"/>
      <c r="Z50" s="54"/>
      <c r="AA50" s="52"/>
      <c r="AB50" s="53"/>
      <c r="AC50" s="54"/>
      <c r="AD50" s="54"/>
      <c r="AE50" s="54"/>
      <c r="AF50" s="52"/>
      <c r="AG50" s="53"/>
      <c r="AH50" s="54"/>
      <c r="AI50" s="54"/>
      <c r="AJ50" s="52"/>
      <c r="AK50" s="53"/>
      <c r="AL50" s="54"/>
      <c r="AM50" s="54"/>
      <c r="AN50" s="52"/>
      <c r="AO50" s="53"/>
      <c r="AP50" s="54"/>
      <c r="AQ50" s="54"/>
      <c r="AR50" s="54"/>
      <c r="AS50" s="52"/>
      <c r="AT50" s="53"/>
      <c r="AU50" s="54"/>
      <c r="AV50" s="54"/>
      <c r="AW50" s="52"/>
      <c r="AX50" s="53"/>
      <c r="AY50" s="54"/>
      <c r="AZ50" s="54"/>
      <c r="BA50" s="54"/>
      <c r="BB50" s="54"/>
      <c r="BC50" s="55">
        <f aca="true" t="shared" si="10" ref="BC50:BC56">SUM(AQ50:BB50)</f>
        <v>0</v>
      </c>
    </row>
    <row r="51" spans="1:55" s="45" customFormat="1" ht="15.75" customHeight="1">
      <c r="A51" s="46" t="s">
        <v>166</v>
      </c>
      <c r="B51" s="47">
        <v>500</v>
      </c>
      <c r="C51" s="48"/>
      <c r="D51" s="54"/>
      <c r="E51" s="54"/>
      <c r="F51" s="52"/>
      <c r="G51" s="47">
        <v>500</v>
      </c>
      <c r="H51" s="48"/>
      <c r="I51" s="54"/>
      <c r="J51" s="52"/>
      <c r="K51" s="47">
        <v>500</v>
      </c>
      <c r="L51" s="48"/>
      <c r="M51" s="54"/>
      <c r="N51" s="52"/>
      <c r="O51" s="47">
        <v>500</v>
      </c>
      <c r="P51" s="48"/>
      <c r="Q51" s="54"/>
      <c r="R51" s="52"/>
      <c r="S51" s="47">
        <v>500</v>
      </c>
      <c r="T51" s="48"/>
      <c r="U51" s="54"/>
      <c r="V51" s="54"/>
      <c r="W51" s="52"/>
      <c r="X51" s="47"/>
      <c r="Y51" s="48"/>
      <c r="Z51" s="54"/>
      <c r="AA51" s="52"/>
      <c r="AB51" s="53"/>
      <c r="AC51" s="54"/>
      <c r="AD51" s="54"/>
      <c r="AE51" s="54"/>
      <c r="AF51" s="52"/>
      <c r="AG51" s="53"/>
      <c r="AH51" s="54"/>
      <c r="AI51" s="54"/>
      <c r="AJ51" s="52"/>
      <c r="AK51" s="53"/>
      <c r="AL51" s="54"/>
      <c r="AM51" s="54"/>
      <c r="AN51" s="52"/>
      <c r="AO51" s="53"/>
      <c r="AP51" s="54"/>
      <c r="AQ51" s="54"/>
      <c r="AR51" s="54"/>
      <c r="AS51" s="52"/>
      <c r="AT51" s="53"/>
      <c r="AU51" s="54"/>
      <c r="AV51" s="54"/>
      <c r="AW51" s="52"/>
      <c r="AX51" s="53"/>
      <c r="AY51" s="54"/>
      <c r="AZ51" s="54"/>
      <c r="BA51" s="54"/>
      <c r="BB51" s="54"/>
      <c r="BC51" s="55">
        <f t="shared" si="10"/>
        <v>0</v>
      </c>
    </row>
    <row r="52" spans="1:55" s="45" customFormat="1" ht="12.75">
      <c r="A52" s="46" t="s">
        <v>211</v>
      </c>
      <c r="B52" s="51"/>
      <c r="C52" s="48"/>
      <c r="D52" s="48">
        <v>2000</v>
      </c>
      <c r="E52" s="54"/>
      <c r="F52" s="52"/>
      <c r="G52" s="51"/>
      <c r="H52" s="48"/>
      <c r="I52" s="48">
        <v>2000</v>
      </c>
      <c r="J52" s="52"/>
      <c r="K52" s="51"/>
      <c r="L52" s="48"/>
      <c r="M52" s="48">
        <v>2000</v>
      </c>
      <c r="N52" s="52"/>
      <c r="O52" s="51"/>
      <c r="P52" s="48"/>
      <c r="Q52" s="48">
        <v>2000</v>
      </c>
      <c r="R52" s="52"/>
      <c r="S52" s="51"/>
      <c r="T52" s="48"/>
      <c r="U52" s="48">
        <v>2000</v>
      </c>
      <c r="V52" s="54"/>
      <c r="W52" s="52"/>
      <c r="X52" s="51"/>
      <c r="Y52" s="48"/>
      <c r="Z52" s="48">
        <v>2000</v>
      </c>
      <c r="AA52" s="52"/>
      <c r="AB52" s="53"/>
      <c r="AC52" s="54"/>
      <c r="AD52" s="54"/>
      <c r="AE52" s="54"/>
      <c r="AF52" s="52"/>
      <c r="AG52" s="53"/>
      <c r="AH52" s="54"/>
      <c r="AI52" s="54"/>
      <c r="AJ52" s="52"/>
      <c r="AK52" s="53"/>
      <c r="AL52" s="54"/>
      <c r="AM52" s="54"/>
      <c r="AN52" s="52"/>
      <c r="AO52" s="53"/>
      <c r="AP52" s="54"/>
      <c r="AQ52" s="54"/>
      <c r="AR52" s="54"/>
      <c r="AS52" s="52"/>
      <c r="AT52" s="53"/>
      <c r="AU52" s="54"/>
      <c r="AV52" s="54"/>
      <c r="AW52" s="52"/>
      <c r="AX52" s="53"/>
      <c r="AY52" s="54"/>
      <c r="AZ52" s="54"/>
      <c r="BA52" s="54"/>
      <c r="BB52" s="54"/>
      <c r="BC52" s="55">
        <f t="shared" si="10"/>
        <v>0</v>
      </c>
    </row>
    <row r="53" spans="1:55" s="45" customFormat="1" ht="13.5">
      <c r="A53" s="40" t="s">
        <v>212</v>
      </c>
      <c r="B53" s="57">
        <f aca="true" t="shared" si="11" ref="B53:AG53">B52+B51</f>
        <v>500</v>
      </c>
      <c r="C53" s="58">
        <f t="shared" si="11"/>
        <v>0</v>
      </c>
      <c r="D53" s="58">
        <f t="shared" si="11"/>
        <v>2000</v>
      </c>
      <c r="E53" s="58">
        <f t="shared" si="11"/>
        <v>0</v>
      </c>
      <c r="F53" s="59">
        <f t="shared" si="11"/>
        <v>0</v>
      </c>
      <c r="G53" s="57">
        <f t="shared" si="11"/>
        <v>500</v>
      </c>
      <c r="H53" s="58">
        <f t="shared" si="11"/>
        <v>0</v>
      </c>
      <c r="I53" s="58">
        <f t="shared" si="11"/>
        <v>2000</v>
      </c>
      <c r="J53" s="59">
        <f t="shared" si="11"/>
        <v>0</v>
      </c>
      <c r="K53" s="57">
        <f t="shared" si="11"/>
        <v>500</v>
      </c>
      <c r="L53" s="58">
        <f t="shared" si="11"/>
        <v>0</v>
      </c>
      <c r="M53" s="58">
        <f t="shared" si="11"/>
        <v>2000</v>
      </c>
      <c r="N53" s="59">
        <f t="shared" si="11"/>
        <v>0</v>
      </c>
      <c r="O53" s="57">
        <f t="shared" si="11"/>
        <v>500</v>
      </c>
      <c r="P53" s="58">
        <f t="shared" si="11"/>
        <v>0</v>
      </c>
      <c r="Q53" s="58">
        <f t="shared" si="11"/>
        <v>2000</v>
      </c>
      <c r="R53" s="59">
        <f t="shared" si="11"/>
        <v>0</v>
      </c>
      <c r="S53" s="57">
        <f t="shared" si="11"/>
        <v>500</v>
      </c>
      <c r="T53" s="58">
        <f t="shared" si="11"/>
        <v>0</v>
      </c>
      <c r="U53" s="58">
        <f t="shared" si="11"/>
        <v>2000</v>
      </c>
      <c r="V53" s="58">
        <f t="shared" si="11"/>
        <v>0</v>
      </c>
      <c r="W53" s="59">
        <f t="shared" si="11"/>
        <v>0</v>
      </c>
      <c r="X53" s="57">
        <f t="shared" si="11"/>
        <v>0</v>
      </c>
      <c r="Y53" s="58">
        <f t="shared" si="11"/>
        <v>0</v>
      </c>
      <c r="Z53" s="58">
        <f t="shared" si="11"/>
        <v>2000</v>
      </c>
      <c r="AA53" s="59">
        <f t="shared" si="11"/>
        <v>0</v>
      </c>
      <c r="AB53" s="57">
        <f t="shared" si="11"/>
        <v>0</v>
      </c>
      <c r="AC53" s="58">
        <f t="shared" si="11"/>
        <v>0</v>
      </c>
      <c r="AD53" s="58">
        <f t="shared" si="11"/>
        <v>0</v>
      </c>
      <c r="AE53" s="58">
        <f t="shared" si="11"/>
        <v>0</v>
      </c>
      <c r="AF53" s="59">
        <f t="shared" si="11"/>
        <v>0</v>
      </c>
      <c r="AG53" s="57">
        <f t="shared" si="11"/>
        <v>0</v>
      </c>
      <c r="AH53" s="58">
        <f aca="true" t="shared" si="12" ref="AH53:BB53">AH52+AH51</f>
        <v>0</v>
      </c>
      <c r="AI53" s="58">
        <f t="shared" si="12"/>
        <v>0</v>
      </c>
      <c r="AJ53" s="59">
        <f t="shared" si="12"/>
        <v>0</v>
      </c>
      <c r="AK53" s="57">
        <f t="shared" si="12"/>
        <v>0</v>
      </c>
      <c r="AL53" s="58">
        <f t="shared" si="12"/>
        <v>0</v>
      </c>
      <c r="AM53" s="58">
        <f t="shared" si="12"/>
        <v>0</v>
      </c>
      <c r="AN53" s="59">
        <f t="shared" si="12"/>
        <v>0</v>
      </c>
      <c r="AO53" s="57">
        <f t="shared" si="12"/>
        <v>0</v>
      </c>
      <c r="AP53" s="58">
        <f t="shared" si="12"/>
        <v>0</v>
      </c>
      <c r="AQ53" s="58">
        <f t="shared" si="12"/>
        <v>0</v>
      </c>
      <c r="AR53" s="58">
        <f t="shared" si="12"/>
        <v>0</v>
      </c>
      <c r="AS53" s="59">
        <f t="shared" si="12"/>
        <v>0</v>
      </c>
      <c r="AT53" s="57">
        <f t="shared" si="12"/>
        <v>0</v>
      </c>
      <c r="AU53" s="58">
        <f t="shared" si="12"/>
        <v>0</v>
      </c>
      <c r="AV53" s="58">
        <f t="shared" si="12"/>
        <v>0</v>
      </c>
      <c r="AW53" s="59">
        <f t="shared" si="12"/>
        <v>0</v>
      </c>
      <c r="AX53" s="57">
        <f t="shared" si="12"/>
        <v>0</v>
      </c>
      <c r="AY53" s="58">
        <f t="shared" si="12"/>
        <v>0</v>
      </c>
      <c r="AZ53" s="58">
        <f t="shared" si="12"/>
        <v>0</v>
      </c>
      <c r="BA53" s="58">
        <f t="shared" si="12"/>
        <v>0</v>
      </c>
      <c r="BB53" s="58">
        <f t="shared" si="12"/>
        <v>0</v>
      </c>
      <c r="BC53" s="60">
        <f t="shared" si="10"/>
        <v>0</v>
      </c>
    </row>
    <row r="54" spans="1:55" s="45" customFormat="1" ht="12.75">
      <c r="A54" s="46"/>
      <c r="B54" s="53"/>
      <c r="C54" s="54"/>
      <c r="D54" s="54"/>
      <c r="E54" s="54"/>
      <c r="F54" s="52"/>
      <c r="G54" s="53"/>
      <c r="H54" s="54"/>
      <c r="I54" s="54"/>
      <c r="J54" s="52"/>
      <c r="K54" s="53"/>
      <c r="L54" s="54"/>
      <c r="M54" s="54"/>
      <c r="N54" s="52"/>
      <c r="O54" s="53"/>
      <c r="P54" s="54"/>
      <c r="Q54" s="54"/>
      <c r="R54" s="52"/>
      <c r="S54" s="53"/>
      <c r="T54" s="54"/>
      <c r="U54" s="54"/>
      <c r="V54" s="54"/>
      <c r="W54" s="52"/>
      <c r="X54" s="53"/>
      <c r="Y54" s="54"/>
      <c r="Z54" s="54"/>
      <c r="AA54" s="52"/>
      <c r="AB54" s="53"/>
      <c r="AC54" s="54"/>
      <c r="AD54" s="54"/>
      <c r="AE54" s="54"/>
      <c r="AF54" s="52"/>
      <c r="AG54" s="53"/>
      <c r="AH54" s="54"/>
      <c r="AI54" s="54"/>
      <c r="AJ54" s="52"/>
      <c r="AK54" s="53"/>
      <c r="AL54" s="54"/>
      <c r="AM54" s="54"/>
      <c r="AN54" s="52"/>
      <c r="AO54" s="53"/>
      <c r="AP54" s="54"/>
      <c r="AQ54" s="54"/>
      <c r="AR54" s="54"/>
      <c r="AS54" s="52"/>
      <c r="AT54" s="53"/>
      <c r="AU54" s="54"/>
      <c r="AV54" s="54"/>
      <c r="AW54" s="52"/>
      <c r="AX54" s="53"/>
      <c r="AY54" s="54"/>
      <c r="AZ54" s="54"/>
      <c r="BA54" s="54"/>
      <c r="BB54" s="54"/>
      <c r="BC54" s="55">
        <f t="shared" si="10"/>
        <v>0</v>
      </c>
    </row>
    <row r="55" spans="1:55" s="45" customFormat="1" ht="12.75">
      <c r="A55" s="46" t="s">
        <v>213</v>
      </c>
      <c r="B55" s="53"/>
      <c r="C55" s="54">
        <v>75</v>
      </c>
      <c r="D55" s="54"/>
      <c r="E55" s="54">
        <v>25</v>
      </c>
      <c r="F55" s="52"/>
      <c r="G55" s="53"/>
      <c r="H55" s="54">
        <v>75</v>
      </c>
      <c r="I55" s="54"/>
      <c r="J55" s="52">
        <v>25</v>
      </c>
      <c r="K55" s="53"/>
      <c r="L55" s="54">
        <v>75</v>
      </c>
      <c r="M55" s="54"/>
      <c r="N55" s="52">
        <v>25</v>
      </c>
      <c r="O55" s="53"/>
      <c r="P55" s="54">
        <v>75</v>
      </c>
      <c r="Q55" s="54"/>
      <c r="R55" s="52">
        <v>25</v>
      </c>
      <c r="S55" s="53"/>
      <c r="T55" s="54">
        <v>75</v>
      </c>
      <c r="U55" s="54"/>
      <c r="V55" s="54">
        <v>25</v>
      </c>
      <c r="W55" s="52"/>
      <c r="X55" s="53"/>
      <c r="Y55" s="54">
        <v>75</v>
      </c>
      <c r="Z55" s="54"/>
      <c r="AA55" s="52">
        <v>25</v>
      </c>
      <c r="AB55" s="53"/>
      <c r="AC55" s="54">
        <v>75</v>
      </c>
      <c r="AD55" s="54"/>
      <c r="AE55" s="54">
        <v>25</v>
      </c>
      <c r="AF55" s="52"/>
      <c r="AG55" s="53"/>
      <c r="AH55" s="54">
        <v>75</v>
      </c>
      <c r="AI55" s="54"/>
      <c r="AJ55" s="52">
        <v>25</v>
      </c>
      <c r="AK55" s="53"/>
      <c r="AL55" s="54">
        <v>75</v>
      </c>
      <c r="AM55" s="54"/>
      <c r="AN55" s="52">
        <v>25</v>
      </c>
      <c r="AO55" s="53"/>
      <c r="AP55" s="54">
        <v>75</v>
      </c>
      <c r="AQ55" s="54"/>
      <c r="AR55" s="54">
        <v>25</v>
      </c>
      <c r="AS55" s="52"/>
      <c r="AT55" s="53"/>
      <c r="AU55" s="54">
        <v>75</v>
      </c>
      <c r="AV55" s="54"/>
      <c r="AW55" s="52">
        <v>25</v>
      </c>
      <c r="AX55" s="53"/>
      <c r="AY55" s="54">
        <v>75</v>
      </c>
      <c r="AZ55" s="54"/>
      <c r="BA55" s="54">
        <v>25</v>
      </c>
      <c r="BB55" s="54"/>
      <c r="BC55" s="55">
        <f t="shared" si="10"/>
        <v>225</v>
      </c>
    </row>
    <row r="56" spans="1:55" s="45" customFormat="1" ht="12.75">
      <c r="A56" s="277" t="s">
        <v>214</v>
      </c>
      <c r="B56" s="278">
        <f>B12*1.2</f>
        <v>4800</v>
      </c>
      <c r="C56" s="279">
        <v>15000</v>
      </c>
      <c r="D56" s="279">
        <v>15000</v>
      </c>
      <c r="E56" s="279">
        <v>15000</v>
      </c>
      <c r="F56" s="280">
        <v>15000</v>
      </c>
      <c r="G56" s="278">
        <v>15000</v>
      </c>
      <c r="H56" s="54">
        <v>15000</v>
      </c>
      <c r="I56" s="54">
        <v>15000</v>
      </c>
      <c r="J56" s="52">
        <v>15000</v>
      </c>
      <c r="K56" s="53">
        <v>15000</v>
      </c>
      <c r="L56" s="54">
        <v>15000</v>
      </c>
      <c r="M56" s="54">
        <v>15000</v>
      </c>
      <c r="N56" s="52">
        <v>15000</v>
      </c>
      <c r="O56" s="53">
        <v>15000</v>
      </c>
      <c r="P56" s="54">
        <v>15000</v>
      </c>
      <c r="Q56" s="54">
        <v>15000</v>
      </c>
      <c r="R56" s="52">
        <v>15000</v>
      </c>
      <c r="S56" s="53">
        <v>15000</v>
      </c>
      <c r="T56" s="54">
        <v>15000</v>
      </c>
      <c r="U56" s="54">
        <v>15000</v>
      </c>
      <c r="V56" s="54">
        <v>15000</v>
      </c>
      <c r="W56" s="52">
        <v>15000</v>
      </c>
      <c r="X56" s="53">
        <v>15000</v>
      </c>
      <c r="Y56" s="54">
        <v>15000</v>
      </c>
      <c r="Z56" s="54">
        <v>15000</v>
      </c>
      <c r="AA56" s="52">
        <v>15000</v>
      </c>
      <c r="AB56" s="53">
        <v>15000</v>
      </c>
      <c r="AC56" s="54">
        <v>15000</v>
      </c>
      <c r="AD56" s="54">
        <v>15000</v>
      </c>
      <c r="AE56" s="54">
        <v>15000</v>
      </c>
      <c r="AF56" s="52">
        <v>15000</v>
      </c>
      <c r="AG56" s="53">
        <v>15000</v>
      </c>
      <c r="AH56" s="54">
        <v>15000</v>
      </c>
      <c r="AI56" s="54">
        <v>15000</v>
      </c>
      <c r="AJ56" s="52">
        <v>15000</v>
      </c>
      <c r="AK56" s="53">
        <v>15000</v>
      </c>
      <c r="AL56" s="54">
        <v>15000</v>
      </c>
      <c r="AM56" s="54">
        <v>15000</v>
      </c>
      <c r="AN56" s="52">
        <v>15000</v>
      </c>
      <c r="AO56" s="53">
        <v>15000</v>
      </c>
      <c r="AP56" s="54">
        <v>15000</v>
      </c>
      <c r="AQ56" s="54">
        <v>15000</v>
      </c>
      <c r="AR56" s="54">
        <v>15000</v>
      </c>
      <c r="AS56" s="52">
        <v>15000</v>
      </c>
      <c r="AT56" s="53">
        <v>15000</v>
      </c>
      <c r="AU56" s="54">
        <v>15000</v>
      </c>
      <c r="AV56" s="54">
        <v>15000</v>
      </c>
      <c r="AW56" s="52">
        <v>15000</v>
      </c>
      <c r="AX56" s="53">
        <v>15000</v>
      </c>
      <c r="AY56" s="54">
        <v>15000</v>
      </c>
      <c r="AZ56" s="54">
        <v>15000</v>
      </c>
      <c r="BA56" s="54">
        <v>15000</v>
      </c>
      <c r="BB56" s="54">
        <v>15000</v>
      </c>
      <c r="BC56" s="55">
        <f t="shared" si="10"/>
        <v>180000</v>
      </c>
    </row>
    <row r="57" spans="1:55" s="64" customFormat="1" ht="16.5">
      <c r="A57" s="287" t="s">
        <v>111</v>
      </c>
      <c r="B57" s="288">
        <f aca="true" t="shared" si="13" ref="B57:AG57">SUM(B25,B48,B53,B56)</f>
        <v>14515</v>
      </c>
      <c r="C57" s="289">
        <f t="shared" si="13"/>
        <v>15000</v>
      </c>
      <c r="D57" s="289">
        <f t="shared" si="13"/>
        <v>39265</v>
      </c>
      <c r="E57" s="289">
        <f t="shared" si="13"/>
        <v>15000</v>
      </c>
      <c r="F57" s="290">
        <f t="shared" si="13"/>
        <v>16197</v>
      </c>
      <c r="G57" s="288">
        <f t="shared" si="13"/>
        <v>24715</v>
      </c>
      <c r="H57" s="62">
        <f t="shared" si="13"/>
        <v>16197</v>
      </c>
      <c r="I57" s="62">
        <f t="shared" si="13"/>
        <v>21275</v>
      </c>
      <c r="J57" s="63">
        <f t="shared" si="13"/>
        <v>16042</v>
      </c>
      <c r="K57" s="61">
        <f t="shared" si="13"/>
        <v>24715</v>
      </c>
      <c r="L57" s="62">
        <f t="shared" si="13"/>
        <v>16042</v>
      </c>
      <c r="M57" s="62">
        <f t="shared" si="13"/>
        <v>21275</v>
      </c>
      <c r="N57" s="63">
        <f t="shared" si="13"/>
        <v>16042</v>
      </c>
      <c r="O57" s="61">
        <f t="shared" si="13"/>
        <v>24715</v>
      </c>
      <c r="P57" s="62">
        <f t="shared" si="13"/>
        <v>16042</v>
      </c>
      <c r="Q57" s="62">
        <f t="shared" si="13"/>
        <v>21275</v>
      </c>
      <c r="R57" s="63">
        <f t="shared" si="13"/>
        <v>15000</v>
      </c>
      <c r="S57" s="61">
        <f t="shared" si="13"/>
        <v>25757</v>
      </c>
      <c r="T57" s="62">
        <f t="shared" si="13"/>
        <v>15000</v>
      </c>
      <c r="U57" s="62">
        <f t="shared" si="13"/>
        <v>22317</v>
      </c>
      <c r="V57" s="62">
        <f t="shared" si="13"/>
        <v>15000</v>
      </c>
      <c r="W57" s="63">
        <f t="shared" si="13"/>
        <v>16042</v>
      </c>
      <c r="X57" s="61">
        <f t="shared" si="13"/>
        <v>24215</v>
      </c>
      <c r="Y57" s="62">
        <f t="shared" si="13"/>
        <v>16042</v>
      </c>
      <c r="Z57" s="62">
        <f t="shared" si="13"/>
        <v>21275</v>
      </c>
      <c r="AA57" s="63">
        <f t="shared" si="13"/>
        <v>16042</v>
      </c>
      <c r="AB57" s="61">
        <f t="shared" si="13"/>
        <v>24215</v>
      </c>
      <c r="AC57" s="62">
        <f t="shared" si="13"/>
        <v>16042</v>
      </c>
      <c r="AD57" s="62">
        <f t="shared" si="13"/>
        <v>19275</v>
      </c>
      <c r="AE57" s="62">
        <f t="shared" si="13"/>
        <v>15000</v>
      </c>
      <c r="AF57" s="63">
        <f t="shared" si="13"/>
        <v>16042</v>
      </c>
      <c r="AG57" s="61">
        <f t="shared" si="13"/>
        <v>24215</v>
      </c>
      <c r="AH57" s="62">
        <f aca="true" t="shared" si="14" ref="AH57:BB57">SUM(AH25,AH48,AH53,AH56)</f>
        <v>16042</v>
      </c>
      <c r="AI57" s="62">
        <f t="shared" si="14"/>
        <v>19275</v>
      </c>
      <c r="AJ57" s="63">
        <f t="shared" si="14"/>
        <v>16042</v>
      </c>
      <c r="AK57" s="61">
        <f t="shared" si="14"/>
        <v>24215</v>
      </c>
      <c r="AL57" s="62">
        <f t="shared" si="14"/>
        <v>16042</v>
      </c>
      <c r="AM57" s="62">
        <f t="shared" si="14"/>
        <v>19275</v>
      </c>
      <c r="AN57" s="63">
        <f t="shared" si="14"/>
        <v>16042</v>
      </c>
      <c r="AO57" s="61">
        <f t="shared" si="14"/>
        <v>24215</v>
      </c>
      <c r="AP57" s="62">
        <f t="shared" si="14"/>
        <v>15000</v>
      </c>
      <c r="AQ57" s="62">
        <f t="shared" si="14"/>
        <v>20317</v>
      </c>
      <c r="AR57" s="62">
        <f t="shared" si="14"/>
        <v>15000</v>
      </c>
      <c r="AS57" s="63">
        <f t="shared" si="14"/>
        <v>16042</v>
      </c>
      <c r="AT57" s="61">
        <f t="shared" si="14"/>
        <v>24215</v>
      </c>
      <c r="AU57" s="62">
        <f t="shared" si="14"/>
        <v>16042</v>
      </c>
      <c r="AV57" s="62">
        <f t="shared" si="14"/>
        <v>19275</v>
      </c>
      <c r="AW57" s="63">
        <f t="shared" si="14"/>
        <v>16042</v>
      </c>
      <c r="AX57" s="61">
        <f t="shared" si="14"/>
        <v>24215</v>
      </c>
      <c r="AY57" s="62">
        <f t="shared" si="14"/>
        <v>16042</v>
      </c>
      <c r="AZ57" s="62">
        <f t="shared" si="14"/>
        <v>19275</v>
      </c>
      <c r="BA57" s="62">
        <f t="shared" si="14"/>
        <v>16042</v>
      </c>
      <c r="BB57" s="62">
        <f t="shared" si="14"/>
        <v>24215</v>
      </c>
      <c r="BC57" s="97"/>
    </row>
    <row r="58" spans="1:55" s="83" customFormat="1" ht="12.75">
      <c r="A58" s="291" t="s">
        <v>112</v>
      </c>
      <c r="B58" s="292">
        <f aca="true" t="shared" si="15" ref="B58:AG58">B15-B57</f>
        <v>38485</v>
      </c>
      <c r="C58" s="293">
        <f t="shared" si="15"/>
        <v>39485</v>
      </c>
      <c r="D58" s="293">
        <f t="shared" si="15"/>
        <v>10220</v>
      </c>
      <c r="E58" s="293">
        <f t="shared" si="15"/>
        <v>-780</v>
      </c>
      <c r="F58" s="294">
        <f t="shared" si="15"/>
        <v>-14977</v>
      </c>
      <c r="G58" s="292">
        <f t="shared" si="15"/>
        <v>-26692</v>
      </c>
      <c r="H58" s="80">
        <f t="shared" si="15"/>
        <v>-22889</v>
      </c>
      <c r="I58" s="80">
        <f t="shared" si="15"/>
        <v>-22164</v>
      </c>
      <c r="J58" s="81">
        <f t="shared" si="15"/>
        <v>-28206</v>
      </c>
      <c r="K58" s="79">
        <f t="shared" si="15"/>
        <v>-52921</v>
      </c>
      <c r="L58" s="80">
        <f t="shared" si="15"/>
        <v>-68963</v>
      </c>
      <c r="M58" s="80">
        <f t="shared" si="15"/>
        <v>-89938</v>
      </c>
      <c r="N58" s="81">
        <f t="shared" si="15"/>
        <v>-105680</v>
      </c>
      <c r="O58" s="79">
        <f t="shared" si="15"/>
        <v>-130395</v>
      </c>
      <c r="P58" s="80">
        <f t="shared" si="15"/>
        <v>-146437</v>
      </c>
      <c r="Q58" s="80">
        <f t="shared" si="15"/>
        <v>-167712</v>
      </c>
      <c r="R58" s="81">
        <f t="shared" si="15"/>
        <v>-182712</v>
      </c>
      <c r="S58" s="79">
        <f t="shared" si="15"/>
        <v>-208469</v>
      </c>
      <c r="T58" s="80">
        <f t="shared" si="15"/>
        <v>-223469</v>
      </c>
      <c r="U58" s="80">
        <f t="shared" si="15"/>
        <v>-245786</v>
      </c>
      <c r="V58" s="80">
        <f t="shared" si="15"/>
        <v>-260786</v>
      </c>
      <c r="W58" s="81">
        <f t="shared" si="15"/>
        <v>-276828</v>
      </c>
      <c r="X58" s="79">
        <f t="shared" si="15"/>
        <v>-301043</v>
      </c>
      <c r="Y58" s="80">
        <f t="shared" si="15"/>
        <v>-317085</v>
      </c>
      <c r="Z58" s="80">
        <f t="shared" si="15"/>
        <v>-338360</v>
      </c>
      <c r="AA58" s="81">
        <f t="shared" si="15"/>
        <v>-354402</v>
      </c>
      <c r="AB58" s="79">
        <f t="shared" si="15"/>
        <v>-378617</v>
      </c>
      <c r="AC58" s="80">
        <f t="shared" si="15"/>
        <v>-394659</v>
      </c>
      <c r="AD58" s="80">
        <f t="shared" si="15"/>
        <v>-413934</v>
      </c>
      <c r="AE58" s="80">
        <f t="shared" si="15"/>
        <v>-428934</v>
      </c>
      <c r="AF58" s="81">
        <f t="shared" si="15"/>
        <v>-444976</v>
      </c>
      <c r="AG58" s="79">
        <f t="shared" si="15"/>
        <v>-469191</v>
      </c>
      <c r="AH58" s="80">
        <f aca="true" t="shared" si="16" ref="AH58:BM58">AH15-AH57</f>
        <v>-485233</v>
      </c>
      <c r="AI58" s="80">
        <f t="shared" si="16"/>
        <v>-504508</v>
      </c>
      <c r="AJ58" s="81">
        <f t="shared" si="16"/>
        <v>-520550</v>
      </c>
      <c r="AK58" s="79">
        <f t="shared" si="16"/>
        <v>-544765</v>
      </c>
      <c r="AL58" s="80">
        <f t="shared" si="16"/>
        <v>-560807</v>
      </c>
      <c r="AM58" s="80">
        <f t="shared" si="16"/>
        <v>-580082</v>
      </c>
      <c r="AN58" s="81">
        <f t="shared" si="16"/>
        <v>-596124</v>
      </c>
      <c r="AO58" s="79">
        <f t="shared" si="16"/>
        <v>-620339</v>
      </c>
      <c r="AP58" s="80">
        <f t="shared" si="16"/>
        <v>-635339</v>
      </c>
      <c r="AQ58" s="80">
        <f t="shared" si="16"/>
        <v>-655656</v>
      </c>
      <c r="AR58" s="80">
        <f t="shared" si="16"/>
        <v>-670656</v>
      </c>
      <c r="AS58" s="81">
        <f t="shared" si="16"/>
        <v>-686698</v>
      </c>
      <c r="AT58" s="79">
        <f t="shared" si="16"/>
        <v>-710913</v>
      </c>
      <c r="AU58" s="80">
        <f t="shared" si="16"/>
        <v>-726955</v>
      </c>
      <c r="AV58" s="80">
        <f t="shared" si="16"/>
        <v>-746230</v>
      </c>
      <c r="AW58" s="81">
        <f t="shared" si="16"/>
        <v>-762272</v>
      </c>
      <c r="AX58" s="79">
        <f t="shared" si="16"/>
        <v>-786487</v>
      </c>
      <c r="AY58" s="80">
        <f t="shared" si="16"/>
        <v>-802529</v>
      </c>
      <c r="AZ58" s="80">
        <f t="shared" si="16"/>
        <v>-821804</v>
      </c>
      <c r="BA58" s="80">
        <f t="shared" si="16"/>
        <v>-837846</v>
      </c>
      <c r="BB58" s="80">
        <f t="shared" si="16"/>
        <v>-862061</v>
      </c>
      <c r="BC58" s="82"/>
    </row>
    <row r="59" spans="1:55" s="65" customFormat="1" ht="12.75">
      <c r="A59" s="78"/>
      <c r="B59" s="84"/>
      <c r="C59" s="85"/>
      <c r="D59" s="85"/>
      <c r="E59" s="85"/>
      <c r="F59" s="86"/>
      <c r="G59" s="84"/>
      <c r="H59" s="85"/>
      <c r="I59" s="85"/>
      <c r="J59" s="86"/>
      <c r="K59" s="84"/>
      <c r="L59" s="85"/>
      <c r="M59" s="85"/>
      <c r="N59" s="86"/>
      <c r="O59" s="84"/>
      <c r="P59" s="85"/>
      <c r="Q59" s="85"/>
      <c r="R59" s="86"/>
      <c r="S59" s="84"/>
      <c r="T59" s="85"/>
      <c r="U59" s="85"/>
      <c r="V59" s="85"/>
      <c r="W59" s="86"/>
      <c r="X59" s="84"/>
      <c r="Y59" s="85"/>
      <c r="Z59" s="85"/>
      <c r="AA59" s="86"/>
      <c r="AB59" s="84"/>
      <c r="AC59" s="85"/>
      <c r="AD59" s="85"/>
      <c r="AE59" s="85"/>
      <c r="AF59" s="86"/>
      <c r="AG59" s="84"/>
      <c r="AH59" s="85"/>
      <c r="AI59" s="85"/>
      <c r="AJ59" s="86"/>
      <c r="AK59" s="84"/>
      <c r="AL59" s="85"/>
      <c r="AM59" s="85"/>
      <c r="AN59" s="86"/>
      <c r="AO59" s="84"/>
      <c r="AP59" s="85"/>
      <c r="AQ59" s="85"/>
      <c r="AR59" s="85"/>
      <c r="AS59" s="86"/>
      <c r="AT59" s="84"/>
      <c r="AU59" s="85"/>
      <c r="AV59" s="85"/>
      <c r="AW59" s="86"/>
      <c r="AX59" s="84"/>
      <c r="AY59" s="85"/>
      <c r="AZ59" s="85"/>
      <c r="BA59" s="85"/>
      <c r="BB59" s="85"/>
      <c r="BC59" s="87"/>
    </row>
    <row r="60" spans="1:55" s="103" customFormat="1" ht="31.5" customHeight="1">
      <c r="A60" s="98" t="s">
        <v>215</v>
      </c>
      <c r="B60" s="99">
        <f aca="true" t="shared" si="17" ref="B60:AG60">B59+B58</f>
        <v>38485</v>
      </c>
      <c r="C60" s="100">
        <f t="shared" si="17"/>
        <v>39485</v>
      </c>
      <c r="D60" s="100">
        <f t="shared" si="17"/>
        <v>10220</v>
      </c>
      <c r="E60" s="100">
        <f t="shared" si="17"/>
        <v>-780</v>
      </c>
      <c r="F60" s="101">
        <f t="shared" si="17"/>
        <v>-14977</v>
      </c>
      <c r="G60" s="99">
        <f t="shared" si="17"/>
        <v>-26692</v>
      </c>
      <c r="H60" s="100">
        <f t="shared" si="17"/>
        <v>-22889</v>
      </c>
      <c r="I60" s="100">
        <f t="shared" si="17"/>
        <v>-22164</v>
      </c>
      <c r="J60" s="101">
        <f t="shared" si="17"/>
        <v>-28206</v>
      </c>
      <c r="K60" s="99">
        <f t="shared" si="17"/>
        <v>-52921</v>
      </c>
      <c r="L60" s="100">
        <f t="shared" si="17"/>
        <v>-68963</v>
      </c>
      <c r="M60" s="100">
        <f t="shared" si="17"/>
        <v>-89938</v>
      </c>
      <c r="N60" s="101">
        <f t="shared" si="17"/>
        <v>-105680</v>
      </c>
      <c r="O60" s="99">
        <f t="shared" si="17"/>
        <v>-130395</v>
      </c>
      <c r="P60" s="100">
        <f t="shared" si="17"/>
        <v>-146437</v>
      </c>
      <c r="Q60" s="100">
        <f t="shared" si="17"/>
        <v>-167712</v>
      </c>
      <c r="R60" s="101">
        <f t="shared" si="17"/>
        <v>-182712</v>
      </c>
      <c r="S60" s="99">
        <f t="shared" si="17"/>
        <v>-208469</v>
      </c>
      <c r="T60" s="100">
        <f t="shared" si="17"/>
        <v>-223469</v>
      </c>
      <c r="U60" s="100">
        <f t="shared" si="17"/>
        <v>-245786</v>
      </c>
      <c r="V60" s="100">
        <f t="shared" si="17"/>
        <v>-260786</v>
      </c>
      <c r="W60" s="101">
        <f t="shared" si="17"/>
        <v>-276828</v>
      </c>
      <c r="X60" s="99">
        <f t="shared" si="17"/>
        <v>-301043</v>
      </c>
      <c r="Y60" s="100">
        <f t="shared" si="17"/>
        <v>-317085</v>
      </c>
      <c r="Z60" s="100">
        <f t="shared" si="17"/>
        <v>-338360</v>
      </c>
      <c r="AA60" s="101">
        <f t="shared" si="17"/>
        <v>-354402</v>
      </c>
      <c r="AB60" s="99">
        <f t="shared" si="17"/>
        <v>-378617</v>
      </c>
      <c r="AC60" s="100">
        <f t="shared" si="17"/>
        <v>-394659</v>
      </c>
      <c r="AD60" s="100">
        <f t="shared" si="17"/>
        <v>-413934</v>
      </c>
      <c r="AE60" s="100">
        <f t="shared" si="17"/>
        <v>-428934</v>
      </c>
      <c r="AF60" s="101">
        <f t="shared" si="17"/>
        <v>-444976</v>
      </c>
      <c r="AG60" s="99">
        <f t="shared" si="17"/>
        <v>-469191</v>
      </c>
      <c r="AH60" s="100">
        <f aca="true" t="shared" si="18" ref="AH60:BB60">AH59+AH58</f>
        <v>-485233</v>
      </c>
      <c r="AI60" s="100">
        <f t="shared" si="18"/>
        <v>-504508</v>
      </c>
      <c r="AJ60" s="101">
        <f t="shared" si="18"/>
        <v>-520550</v>
      </c>
      <c r="AK60" s="99">
        <f t="shared" si="18"/>
        <v>-544765</v>
      </c>
      <c r="AL60" s="100">
        <f t="shared" si="18"/>
        <v>-560807</v>
      </c>
      <c r="AM60" s="100">
        <f t="shared" si="18"/>
        <v>-580082</v>
      </c>
      <c r="AN60" s="101">
        <f t="shared" si="18"/>
        <v>-596124</v>
      </c>
      <c r="AO60" s="99">
        <f t="shared" si="18"/>
        <v>-620339</v>
      </c>
      <c r="AP60" s="100">
        <f t="shared" si="18"/>
        <v>-635339</v>
      </c>
      <c r="AQ60" s="100">
        <f t="shared" si="18"/>
        <v>-655656</v>
      </c>
      <c r="AR60" s="100">
        <f t="shared" si="18"/>
        <v>-670656</v>
      </c>
      <c r="AS60" s="101">
        <f t="shared" si="18"/>
        <v>-686698</v>
      </c>
      <c r="AT60" s="99">
        <f t="shared" si="18"/>
        <v>-710913</v>
      </c>
      <c r="AU60" s="100">
        <f t="shared" si="18"/>
        <v>-726955</v>
      </c>
      <c r="AV60" s="100">
        <f t="shared" si="18"/>
        <v>-746230</v>
      </c>
      <c r="AW60" s="101">
        <f t="shared" si="18"/>
        <v>-762272</v>
      </c>
      <c r="AX60" s="99">
        <f t="shared" si="18"/>
        <v>-786487</v>
      </c>
      <c r="AY60" s="100">
        <f t="shared" si="18"/>
        <v>-802529</v>
      </c>
      <c r="AZ60" s="100">
        <f t="shared" si="18"/>
        <v>-821804</v>
      </c>
      <c r="BA60" s="100">
        <f t="shared" si="18"/>
        <v>-837846</v>
      </c>
      <c r="BB60" s="100">
        <f t="shared" si="18"/>
        <v>-862061</v>
      </c>
      <c r="BC60" s="102"/>
    </row>
  </sheetData>
  <conditionalFormatting sqref="A4">
    <cfRule type="cellIs" priority="1" dxfId="0" operator="lessThan" stopIfTrue="1">
      <formula>0</formula>
    </cfRule>
  </conditionalFormatting>
  <conditionalFormatting sqref="B4:BB4">
    <cfRule type="cellIs" priority="2" dxfId="0" operator="lessThan" stopIfTrue="1">
      <formula>0</formula>
    </cfRule>
  </conditionalFormatting>
  <conditionalFormatting sqref="BC4">
    <cfRule type="cellIs" priority="3" dxfId="0" operator="lessThan" stopIfTrue="1">
      <formula>0</formula>
    </cfRule>
  </conditionalFormatting>
  <conditionalFormatting sqref="A60">
    <cfRule type="cellIs" priority="4" dxfId="0" operator="lessThan" stopIfTrue="1">
      <formula>0</formula>
    </cfRule>
  </conditionalFormatting>
  <conditionalFormatting sqref="B60:BB60">
    <cfRule type="cellIs" priority="5" dxfId="0" operator="lessThan" stopIfTrue="1">
      <formula>0</formula>
    </cfRule>
  </conditionalFormatting>
  <conditionalFormatting sqref="BC60">
    <cfRule type="cellIs" priority="6" dxfId="0" operator="lessThan" stopIfTrue="1">
      <formula>0</formula>
    </cfRule>
  </conditionalFormatting>
  <printOptions/>
  <pageMargins left="0.75" right="0.75" top="1" bottom="1" header="0.5" footer="0.5"/>
  <pageSetup firstPageNumber="1" useFirstPageNumber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150" zoomScaleNormal="150" workbookViewId="0" topLeftCell="A1">
      <selection activeCell="B14" sqref="B14"/>
    </sheetView>
  </sheetViews>
  <sheetFormatPr defaultColWidth="10.296875" defaultRowHeight="14.25"/>
  <cols>
    <col min="1" max="1" width="7.59765625" style="110" customWidth="1"/>
    <col min="2" max="2" width="9.69921875" style="110" customWidth="1"/>
    <col min="3" max="3" width="10.59765625" style="110" customWidth="1"/>
    <col min="4" max="4" width="9.59765625" style="110" customWidth="1"/>
    <col min="5" max="5" width="37.59765625" style="110" customWidth="1"/>
    <col min="6" max="16384" width="10.296875" style="110" customWidth="1"/>
  </cols>
  <sheetData>
    <row r="1" spans="1:5" s="104" customFormat="1" ht="18">
      <c r="A1" s="315" t="s">
        <v>199</v>
      </c>
      <c r="B1" s="316"/>
      <c r="C1" s="316"/>
      <c r="D1" s="316"/>
      <c r="E1" s="317"/>
    </row>
    <row r="2" spans="1:5" s="104" customFormat="1" ht="12.75">
      <c r="A2" s="105"/>
      <c r="B2" s="106"/>
      <c r="C2" s="106"/>
      <c r="D2" s="106"/>
      <c r="E2" s="107"/>
    </row>
    <row r="3" spans="1:5" ht="13.5">
      <c r="A3" s="105"/>
      <c r="B3" s="108" t="s">
        <v>200</v>
      </c>
      <c r="C3" s="108" t="s">
        <v>201</v>
      </c>
      <c r="D3" s="108" t="s">
        <v>202</v>
      </c>
      <c r="E3" s="109" t="s">
        <v>203</v>
      </c>
    </row>
    <row r="4" spans="1:5" ht="18.75" customHeight="1">
      <c r="A4" s="311" t="s">
        <v>204</v>
      </c>
      <c r="B4" s="318"/>
      <c r="C4" s="318"/>
      <c r="D4" s="111"/>
      <c r="E4" s="112"/>
    </row>
    <row r="5" spans="1:5" ht="18.75" customHeight="1">
      <c r="A5" s="113"/>
      <c r="B5" s="114" t="s">
        <v>205</v>
      </c>
      <c r="C5" s="114" t="s">
        <v>206</v>
      </c>
      <c r="D5" s="115">
        <v>9500</v>
      </c>
      <c r="E5" s="116" t="s">
        <v>207</v>
      </c>
    </row>
    <row r="6" spans="1:5" ht="18.75" customHeight="1">
      <c r="A6" s="311" t="s">
        <v>208</v>
      </c>
      <c r="B6" s="312"/>
      <c r="C6" s="312"/>
      <c r="D6" s="117"/>
      <c r="E6" s="118"/>
    </row>
    <row r="7" spans="1:5" ht="18.75" customHeight="1">
      <c r="A7" s="113"/>
      <c r="B7" s="114" t="s">
        <v>209</v>
      </c>
      <c r="C7" s="119" t="s">
        <v>210</v>
      </c>
      <c r="D7" s="115">
        <v>17500</v>
      </c>
      <c r="E7" s="116" t="s">
        <v>207</v>
      </c>
    </row>
    <row r="8" spans="1:5" ht="18.75" customHeight="1">
      <c r="A8" s="311" t="s">
        <v>35</v>
      </c>
      <c r="B8" s="312"/>
      <c r="C8" s="312"/>
      <c r="D8" s="117"/>
      <c r="E8" s="118"/>
    </row>
    <row r="9" spans="1:5" ht="18.75" customHeight="1">
      <c r="A9" s="113"/>
      <c r="B9" s="114" t="s">
        <v>36</v>
      </c>
      <c r="C9" s="114" t="s">
        <v>206</v>
      </c>
      <c r="D9" s="115">
        <v>6716</v>
      </c>
      <c r="E9" s="116" t="s">
        <v>37</v>
      </c>
    </row>
    <row r="10" spans="1:5" ht="18.75" customHeight="1">
      <c r="A10" s="311" t="s">
        <v>38</v>
      </c>
      <c r="B10" s="312"/>
      <c r="C10" s="312"/>
      <c r="D10" s="117"/>
      <c r="E10" s="118"/>
    </row>
    <row r="11" spans="1:5" ht="18.75" customHeight="1">
      <c r="A11" s="113"/>
      <c r="B11" s="114" t="s">
        <v>39</v>
      </c>
      <c r="C11" s="119" t="s">
        <v>210</v>
      </c>
      <c r="D11" s="115">
        <v>4373</v>
      </c>
      <c r="E11" s="116" t="s">
        <v>40</v>
      </c>
    </row>
    <row r="12" spans="1:5" ht="18.75" customHeight="1">
      <c r="A12" s="311" t="s">
        <v>41</v>
      </c>
      <c r="B12" s="312"/>
      <c r="C12" s="312"/>
      <c r="D12" s="117"/>
      <c r="E12" s="118"/>
    </row>
    <row r="13" spans="1:5" s="124" customFormat="1" ht="18.75" customHeight="1">
      <c r="A13" s="120" t="s">
        <v>42</v>
      </c>
      <c r="B13" s="121" t="s">
        <v>43</v>
      </c>
      <c r="C13" s="121" t="s">
        <v>206</v>
      </c>
      <c r="D13" s="122">
        <v>4500</v>
      </c>
      <c r="E13" s="123" t="s">
        <v>44</v>
      </c>
    </row>
    <row r="14" spans="1:5" s="124" customFormat="1" ht="18.75" customHeight="1">
      <c r="A14" s="120" t="s">
        <v>45</v>
      </c>
      <c r="B14" s="121" t="s">
        <v>43</v>
      </c>
      <c r="C14" s="121" t="s">
        <v>206</v>
      </c>
      <c r="D14" s="122">
        <v>8100</v>
      </c>
      <c r="E14" s="123" t="s">
        <v>44</v>
      </c>
    </row>
    <row r="15" spans="1:5" s="124" customFormat="1" ht="18.75" customHeight="1">
      <c r="A15" s="120" t="s">
        <v>46</v>
      </c>
      <c r="B15" s="121" t="s">
        <v>43</v>
      </c>
      <c r="C15" s="121" t="s">
        <v>206</v>
      </c>
      <c r="D15" s="122">
        <v>1950</v>
      </c>
      <c r="E15" s="123" t="s">
        <v>44</v>
      </c>
    </row>
    <row r="16" spans="1:5" ht="18.75" customHeight="1">
      <c r="A16" s="313" t="s">
        <v>47</v>
      </c>
      <c r="B16" s="314"/>
      <c r="C16" s="314"/>
      <c r="D16" s="125">
        <f>SUM(D13:D15)</f>
        <v>14550</v>
      </c>
      <c r="E16" s="116"/>
    </row>
    <row r="17" spans="1:5" ht="18.75" customHeight="1">
      <c r="A17" s="126"/>
      <c r="B17" s="114"/>
      <c r="C17" s="114"/>
      <c r="E17" s="116"/>
    </row>
    <row r="18" spans="1:5" ht="18.75" customHeight="1">
      <c r="A18" s="311" t="s">
        <v>48</v>
      </c>
      <c r="B18" s="312"/>
      <c r="C18" s="312"/>
      <c r="D18" s="117"/>
      <c r="E18" s="118"/>
    </row>
    <row r="19" spans="1:5" s="124" customFormat="1" ht="18.75" customHeight="1">
      <c r="A19" s="120" t="s">
        <v>45</v>
      </c>
      <c r="B19" s="121" t="s">
        <v>49</v>
      </c>
      <c r="C19" s="121" t="s">
        <v>206</v>
      </c>
      <c r="D19" s="122">
        <v>1150</v>
      </c>
      <c r="E19" s="123" t="s">
        <v>44</v>
      </c>
    </row>
    <row r="20" spans="1:5" s="124" customFormat="1" ht="18.75" customHeight="1">
      <c r="A20" s="120" t="s">
        <v>46</v>
      </c>
      <c r="B20" s="121" t="s">
        <v>49</v>
      </c>
      <c r="C20" s="121" t="s">
        <v>206</v>
      </c>
      <c r="D20" s="127">
        <v>2300</v>
      </c>
      <c r="E20" s="123" t="s">
        <v>44</v>
      </c>
    </row>
    <row r="21" spans="1:5" ht="18.75" customHeight="1">
      <c r="A21" s="313" t="s">
        <v>50</v>
      </c>
      <c r="B21" s="314"/>
      <c r="C21" s="314"/>
      <c r="D21" s="128">
        <v>3450</v>
      </c>
      <c r="E21" s="116"/>
    </row>
    <row r="22" spans="1:5" ht="12.75">
      <c r="A22" s="113"/>
      <c r="B22" s="114"/>
      <c r="C22" s="114"/>
      <c r="D22" s="114"/>
      <c r="E22" s="116"/>
    </row>
    <row r="23" spans="1:5" ht="12.75">
      <c r="A23" s="129"/>
      <c r="B23" s="130"/>
      <c r="C23" s="130"/>
      <c r="D23" s="130"/>
      <c r="E23" s="131"/>
    </row>
  </sheetData>
  <mergeCells count="9">
    <mergeCell ref="A1:E1"/>
    <mergeCell ref="A4:C4"/>
    <mergeCell ref="A6:C6"/>
    <mergeCell ref="A8:C8"/>
    <mergeCell ref="A10:C10"/>
    <mergeCell ref="A12:C12"/>
    <mergeCell ref="A16:C16"/>
    <mergeCell ref="A18:C18"/>
    <mergeCell ref="A21:C21"/>
  </mergeCells>
  <printOptions/>
  <pageMargins left="0.75" right="0.75" top="1" bottom="1" header="0.5" footer="0.5"/>
  <pageSetup firstPageNumber="1" useFirstPageNumber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76"/>
  <sheetViews>
    <sheetView showGridLines="0" zoomScale="150" zoomScaleNormal="150" workbookViewId="0" topLeftCell="A1">
      <selection activeCell="A58" sqref="A58"/>
    </sheetView>
  </sheetViews>
  <sheetFormatPr defaultColWidth="11.19921875" defaultRowHeight="15" customHeight="1"/>
  <cols>
    <col min="1" max="1" width="34.296875" style="145" customWidth="1"/>
    <col min="2" max="2" width="14.59765625" style="145" customWidth="1"/>
    <col min="3" max="251" width="10.296875" style="145" customWidth="1"/>
    <col min="252" max="16384" width="10.69921875" style="146" customWidth="1"/>
  </cols>
  <sheetData>
    <row r="1" spans="1:251" s="139" customFormat="1" ht="15" customHeight="1">
      <c r="A1" s="319" t="s">
        <v>51</v>
      </c>
      <c r="B1" s="320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</row>
    <row r="2" spans="1:251" s="140" customFormat="1" ht="15" customHeight="1">
      <c r="A2" s="321" t="s">
        <v>52</v>
      </c>
      <c r="B2" s="32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s="140" customFormat="1" ht="15" customHeight="1">
      <c r="A3" s="147"/>
      <c r="B3" s="49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s="143" customFormat="1" ht="15" customHeight="1">
      <c r="A4" s="133"/>
      <c r="B4" s="151" t="s">
        <v>191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" ht="15" customHeight="1">
      <c r="A5" s="256" t="s">
        <v>53</v>
      </c>
      <c r="B5" s="257"/>
    </row>
    <row r="6" spans="1:2" ht="15" customHeight="1">
      <c r="A6" s="258" t="s">
        <v>243</v>
      </c>
      <c r="B6" s="259">
        <v>775000</v>
      </c>
    </row>
    <row r="7" spans="1:2" ht="15" customHeight="1">
      <c r="A7" s="260"/>
      <c r="B7" s="261"/>
    </row>
    <row r="8" spans="1:2" ht="15" customHeight="1">
      <c r="A8" s="157" t="s">
        <v>77</v>
      </c>
      <c r="B8" s="152"/>
    </row>
    <row r="9" spans="1:2" ht="15" customHeight="1">
      <c r="A9" s="153" t="s">
        <v>78</v>
      </c>
      <c r="B9" s="154"/>
    </row>
    <row r="10" spans="1:2" ht="15" customHeight="1">
      <c r="A10" s="262" t="s">
        <v>79</v>
      </c>
      <c r="B10" s="155">
        <v>12000</v>
      </c>
    </row>
    <row r="11" spans="1:2" ht="15" customHeight="1">
      <c r="A11" s="263" t="s">
        <v>80</v>
      </c>
      <c r="B11" s="168">
        <v>3600</v>
      </c>
    </row>
    <row r="12" spans="1:2" ht="15" customHeight="1">
      <c r="A12" s="264" t="s">
        <v>81</v>
      </c>
      <c r="B12" s="158">
        <f>SUM(B10:B11)</f>
        <v>15600</v>
      </c>
    </row>
    <row r="13" spans="1:2" ht="15" customHeight="1">
      <c r="A13" s="260"/>
      <c r="B13" s="156"/>
    </row>
    <row r="14" spans="1:2" ht="15" customHeight="1">
      <c r="A14" s="159" t="s">
        <v>82</v>
      </c>
      <c r="B14" s="154"/>
    </row>
    <row r="15" spans="1:2" ht="15" customHeight="1">
      <c r="A15" s="262" t="s">
        <v>83</v>
      </c>
      <c r="B15" s="152"/>
    </row>
    <row r="16" spans="1:2" ht="15" customHeight="1" hidden="1">
      <c r="A16" s="262" t="s">
        <v>84</v>
      </c>
      <c r="B16" s="155">
        <v>2880</v>
      </c>
    </row>
    <row r="17" spans="1:2" ht="15" customHeight="1" hidden="1">
      <c r="A17" s="265" t="s">
        <v>85</v>
      </c>
      <c r="B17" s="152"/>
    </row>
    <row r="18" spans="1:2" ht="15" customHeight="1" hidden="1">
      <c r="A18" s="262" t="s">
        <v>86</v>
      </c>
      <c r="B18" s="155">
        <v>5400</v>
      </c>
    </row>
    <row r="19" spans="1:2" ht="15" customHeight="1" hidden="1">
      <c r="A19" s="266" t="s">
        <v>87</v>
      </c>
      <c r="B19" s="168">
        <v>27600</v>
      </c>
    </row>
    <row r="20" spans="1:2" ht="15" customHeight="1">
      <c r="A20" s="267" t="s">
        <v>88</v>
      </c>
      <c r="B20" s="156">
        <f>B18+B19</f>
        <v>33000</v>
      </c>
    </row>
    <row r="21" spans="1:2" ht="15" customHeight="1">
      <c r="A21" s="262" t="s">
        <v>89</v>
      </c>
      <c r="B21" s="155">
        <v>900</v>
      </c>
    </row>
    <row r="22" spans="1:2" ht="15" customHeight="1">
      <c r="A22" s="262" t="s">
        <v>90</v>
      </c>
      <c r="B22" s="155">
        <v>7051.2</v>
      </c>
    </row>
    <row r="23" spans="1:2" ht="15" customHeight="1">
      <c r="A23" s="263" t="s">
        <v>91</v>
      </c>
      <c r="B23" s="168">
        <v>500</v>
      </c>
    </row>
    <row r="24" spans="1:2" ht="15" customHeight="1">
      <c r="A24" s="267" t="s">
        <v>92</v>
      </c>
      <c r="B24" s="156">
        <f>B20+B21+B22+B23+B16</f>
        <v>44331.2</v>
      </c>
    </row>
    <row r="25" spans="1:2" ht="15" customHeight="1">
      <c r="A25" s="265" t="s">
        <v>93</v>
      </c>
      <c r="B25" s="155" t="s">
        <v>94</v>
      </c>
    </row>
    <row r="26" spans="1:2" ht="15" customHeight="1" hidden="1">
      <c r="A26" s="262" t="s">
        <v>95</v>
      </c>
      <c r="B26" s="155">
        <v>336</v>
      </c>
    </row>
    <row r="27" spans="1:2" ht="15" customHeight="1" hidden="1">
      <c r="A27" s="262" t="s">
        <v>96</v>
      </c>
      <c r="B27" s="155">
        <v>17980.56</v>
      </c>
    </row>
    <row r="28" spans="1:2" ht="15" customHeight="1" hidden="1">
      <c r="A28" s="262" t="s">
        <v>97</v>
      </c>
      <c r="B28" s="155">
        <v>1638.62</v>
      </c>
    </row>
    <row r="29" spans="1:2" ht="15" customHeight="1" hidden="1">
      <c r="A29" s="266" t="s">
        <v>244</v>
      </c>
      <c r="B29" s="168">
        <v>1754.9</v>
      </c>
    </row>
    <row r="30" spans="1:2" ht="15" customHeight="1">
      <c r="A30" s="267" t="s">
        <v>98</v>
      </c>
      <c r="B30" s="268">
        <f>SUM(B26:B29)</f>
        <v>21710.08</v>
      </c>
    </row>
    <row r="31" spans="1:2" ht="15" customHeight="1">
      <c r="A31" s="265" t="s">
        <v>99</v>
      </c>
      <c r="B31" s="49"/>
    </row>
    <row r="32" spans="1:2" ht="15" customHeight="1" hidden="1">
      <c r="A32" s="265" t="s">
        <v>245</v>
      </c>
      <c r="B32" s="155">
        <v>24960</v>
      </c>
    </row>
    <row r="33" spans="1:2" ht="15" customHeight="1" hidden="1">
      <c r="A33" s="262" t="s">
        <v>136</v>
      </c>
      <c r="B33" s="155">
        <v>66560</v>
      </c>
    </row>
    <row r="34" spans="1:2" ht="15" customHeight="1" hidden="1">
      <c r="A34" s="262" t="s">
        <v>137</v>
      </c>
      <c r="B34" s="155">
        <v>31200</v>
      </c>
    </row>
    <row r="35" spans="1:2" ht="15" customHeight="1" hidden="1">
      <c r="A35" s="266" t="s">
        <v>138</v>
      </c>
      <c r="B35" s="168">
        <v>112320</v>
      </c>
    </row>
    <row r="36" spans="1:2" ht="15" customHeight="1">
      <c r="A36" s="269" t="s">
        <v>139</v>
      </c>
      <c r="B36" s="270">
        <f>SUM(B32:B35)</f>
        <v>235040</v>
      </c>
    </row>
    <row r="37" spans="1:2" ht="15" customHeight="1">
      <c r="A37" s="176" t="s">
        <v>140</v>
      </c>
      <c r="B37" s="179">
        <f>B24+B30+B36</f>
        <v>301081.28</v>
      </c>
    </row>
    <row r="38" spans="1:2" ht="15" customHeight="1">
      <c r="A38" s="271"/>
      <c r="B38" s="272"/>
    </row>
    <row r="39" spans="1:2" ht="15" customHeight="1">
      <c r="A39" s="159" t="s">
        <v>141</v>
      </c>
      <c r="B39" s="132"/>
    </row>
    <row r="40" spans="1:2" ht="15" customHeight="1">
      <c r="A40" s="262" t="s">
        <v>0</v>
      </c>
      <c r="B40" s="155">
        <v>1800</v>
      </c>
    </row>
    <row r="41" spans="1:2" ht="15" customHeight="1">
      <c r="A41" s="262" t="s">
        <v>1</v>
      </c>
      <c r="B41" s="155">
        <v>7200</v>
      </c>
    </row>
    <row r="42" spans="1:2" ht="15" customHeight="1">
      <c r="A42" s="262" t="s">
        <v>2</v>
      </c>
      <c r="B42" s="155">
        <v>2400</v>
      </c>
    </row>
    <row r="43" spans="1:2" ht="15" customHeight="1">
      <c r="A43" s="262" t="s">
        <v>313</v>
      </c>
      <c r="B43" s="155">
        <v>600</v>
      </c>
    </row>
    <row r="44" spans="1:2" ht="15" customHeight="1">
      <c r="A44" s="262" t="s">
        <v>314</v>
      </c>
      <c r="B44" s="155">
        <v>6000</v>
      </c>
    </row>
    <row r="45" spans="1:2" ht="15" customHeight="1">
      <c r="A45" s="262" t="s">
        <v>315</v>
      </c>
      <c r="B45" s="155">
        <v>3000</v>
      </c>
    </row>
    <row r="46" spans="1:2" ht="15" customHeight="1">
      <c r="A46" s="262" t="s">
        <v>316</v>
      </c>
      <c r="B46" s="152"/>
    </row>
    <row r="47" spans="1:2" ht="15" customHeight="1" hidden="1">
      <c r="A47" s="262" t="s">
        <v>142</v>
      </c>
      <c r="B47" s="155">
        <v>1500</v>
      </c>
    </row>
    <row r="48" spans="1:2" ht="15" customHeight="1" hidden="1">
      <c r="A48" s="266" t="s">
        <v>143</v>
      </c>
      <c r="B48" s="168">
        <v>1800</v>
      </c>
    </row>
    <row r="49" spans="1:2" ht="15" customHeight="1">
      <c r="A49" s="267" t="s">
        <v>144</v>
      </c>
      <c r="B49" s="300">
        <f>B47+B48</f>
        <v>3300</v>
      </c>
    </row>
    <row r="50" spans="1:2" ht="15" customHeight="1">
      <c r="A50" s="265" t="s">
        <v>145</v>
      </c>
      <c r="B50" s="155">
        <v>24000</v>
      </c>
    </row>
    <row r="51" spans="1:2" ht="15" customHeight="1">
      <c r="A51" s="262" t="s">
        <v>146</v>
      </c>
      <c r="B51" s="155">
        <v>4200</v>
      </c>
    </row>
    <row r="52" spans="1:2" ht="15" customHeight="1">
      <c r="A52" s="265" t="s">
        <v>147</v>
      </c>
      <c r="B52" s="152"/>
    </row>
    <row r="53" spans="1:2" ht="15" customHeight="1" hidden="1">
      <c r="A53" s="262" t="s">
        <v>148</v>
      </c>
      <c r="B53" s="155">
        <v>6000</v>
      </c>
    </row>
    <row r="54" spans="1:2" ht="15" customHeight="1" hidden="1">
      <c r="A54" s="262" t="s">
        <v>149</v>
      </c>
      <c r="B54" s="155">
        <v>14400</v>
      </c>
    </row>
    <row r="55" spans="1:2" ht="15" customHeight="1" hidden="1">
      <c r="A55" s="262" t="s">
        <v>150</v>
      </c>
      <c r="B55" s="155">
        <v>18000</v>
      </c>
    </row>
    <row r="56" spans="1:2" ht="15" customHeight="1" hidden="1">
      <c r="A56" s="266" t="s">
        <v>100</v>
      </c>
      <c r="B56" s="168">
        <v>3000</v>
      </c>
    </row>
    <row r="57" spans="1:2" ht="15" customHeight="1">
      <c r="A57" s="267" t="s">
        <v>101</v>
      </c>
      <c r="B57" s="300">
        <f>SUM(B53:B56)</f>
        <v>41400</v>
      </c>
    </row>
    <row r="58" spans="1:2" ht="15" customHeight="1">
      <c r="A58" s="265" t="s">
        <v>102</v>
      </c>
      <c r="B58" s="49"/>
    </row>
    <row r="59" spans="1:2" ht="15" customHeight="1" hidden="1">
      <c r="A59" s="262" t="s">
        <v>103</v>
      </c>
      <c r="B59" s="155">
        <v>2400</v>
      </c>
    </row>
    <row r="60" spans="1:2" ht="15" customHeight="1" hidden="1">
      <c r="A60" s="266" t="s">
        <v>104</v>
      </c>
      <c r="B60" s="168">
        <v>3600</v>
      </c>
    </row>
    <row r="61" spans="1:2" ht="15" customHeight="1">
      <c r="A61" s="267" t="s">
        <v>105</v>
      </c>
      <c r="B61" s="300">
        <f>B59+B60</f>
        <v>6000</v>
      </c>
    </row>
    <row r="62" spans="1:2" ht="15" customHeight="1">
      <c r="A62" s="265" t="s">
        <v>106</v>
      </c>
      <c r="B62" s="152"/>
    </row>
    <row r="63" spans="1:2" ht="15" customHeight="1" hidden="1">
      <c r="A63" s="262" t="s">
        <v>107</v>
      </c>
      <c r="B63" s="155">
        <v>480</v>
      </c>
    </row>
    <row r="64" spans="1:2" ht="15" customHeight="1" hidden="1">
      <c r="A64" s="266" t="s">
        <v>108</v>
      </c>
      <c r="B64" s="168">
        <v>8400</v>
      </c>
    </row>
    <row r="65" spans="1:2" ht="15" customHeight="1">
      <c r="A65" s="269" t="s">
        <v>109</v>
      </c>
      <c r="B65" s="301">
        <f>SUM(B63:B64)</f>
        <v>8880</v>
      </c>
    </row>
    <row r="66" spans="1:2" ht="15" customHeight="1">
      <c r="A66" s="176" t="s">
        <v>110</v>
      </c>
      <c r="B66" s="273">
        <f>SUM(B40:B45)+B49+B50+B51+B57+B61+B65</f>
        <v>108780</v>
      </c>
    </row>
    <row r="67" spans="1:2" ht="15" customHeight="1">
      <c r="A67" s="274"/>
      <c r="B67" s="275"/>
    </row>
    <row r="68" spans="1:2" ht="15" customHeight="1">
      <c r="A68" s="180" t="s">
        <v>111</v>
      </c>
      <c r="B68" s="181">
        <f>((B12)+B37)+B66</f>
        <v>425461.28</v>
      </c>
    </row>
    <row r="69" spans="1:2" ht="15" customHeight="1">
      <c r="A69" s="274"/>
      <c r="B69" s="276"/>
    </row>
    <row r="70" spans="1:2" ht="15" customHeight="1">
      <c r="A70" s="180" t="s">
        <v>112</v>
      </c>
      <c r="B70" s="160">
        <f>B6-B68</f>
        <v>349538.72</v>
      </c>
    </row>
    <row r="71" spans="1:2" ht="15" customHeight="1">
      <c r="A71" s="149"/>
      <c r="B71" s="144"/>
    </row>
    <row r="72" spans="1:2" ht="15" customHeight="1">
      <c r="A72" s="135"/>
      <c r="B72" s="134"/>
    </row>
    <row r="73" spans="1:2" ht="15" customHeight="1">
      <c r="A73" s="135"/>
      <c r="B73" s="134"/>
    </row>
    <row r="74" spans="1:2" ht="15" customHeight="1">
      <c r="A74" s="135"/>
      <c r="B74" s="134"/>
    </row>
    <row r="75" spans="1:2" ht="15" customHeight="1">
      <c r="A75" s="135"/>
      <c r="B75" s="134"/>
    </row>
    <row r="76" spans="1:2" ht="15" customHeight="1">
      <c r="A76" s="136"/>
      <c r="B76" s="137" t="s">
        <v>94</v>
      </c>
    </row>
  </sheetData>
  <mergeCells count="2">
    <mergeCell ref="A1:B1"/>
    <mergeCell ref="A2:B2"/>
  </mergeCells>
  <printOptions/>
  <pageMargins left="0.75" right="0.75" top="1" bottom="1" header="0.5" footer="0.5"/>
  <pageSetup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1"/>
  <sheetViews>
    <sheetView showGridLines="0" zoomScale="150" zoomScaleNormal="150" workbookViewId="0" topLeftCell="A1">
      <selection activeCell="A12" sqref="A12"/>
    </sheetView>
  </sheetViews>
  <sheetFormatPr defaultColWidth="11.19921875" defaultRowHeight="14.25"/>
  <cols>
    <col min="1" max="1" width="27" style="145" customWidth="1"/>
    <col min="2" max="2" width="19.296875" style="145" customWidth="1"/>
    <col min="3" max="3" width="118" style="145" customWidth="1"/>
    <col min="4" max="4" width="7.8984375" style="145" customWidth="1"/>
    <col min="5" max="255" width="10.296875" style="145" customWidth="1"/>
    <col min="256" max="16384" width="10.69921875" style="146" customWidth="1"/>
  </cols>
  <sheetData>
    <row r="1" spans="1:255" s="139" customFormat="1" ht="16.5">
      <c r="A1" s="319" t="s">
        <v>69</v>
      </c>
      <c r="B1" s="323"/>
      <c r="C1" s="163"/>
      <c r="D1" s="164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  <c r="IR1" s="138"/>
      <c r="IS1" s="138"/>
      <c r="IT1" s="138"/>
      <c r="IU1" s="138"/>
    </row>
    <row r="2" spans="1:255" s="140" customFormat="1" ht="12.75">
      <c r="A2" s="321" t="s">
        <v>70</v>
      </c>
      <c r="B2" s="324"/>
      <c r="C2" s="165"/>
      <c r="D2" s="150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s="140" customFormat="1" ht="12.75">
      <c r="A3" s="147"/>
      <c r="B3" s="49"/>
      <c r="C3" s="165"/>
      <c r="D3" s="150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s="140" customFormat="1" ht="13.5">
      <c r="A4" s="148"/>
      <c r="B4" s="151" t="s">
        <v>191</v>
      </c>
      <c r="C4" s="165"/>
      <c r="D4" s="1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s="140" customFormat="1" ht="13.5">
      <c r="A5" s="166" t="s">
        <v>113</v>
      </c>
      <c r="B5" s="167"/>
      <c r="C5" s="165"/>
      <c r="D5" s="150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140" customFormat="1" ht="12.75">
      <c r="A6" s="172" t="s">
        <v>114</v>
      </c>
      <c r="B6" s="152"/>
      <c r="C6" s="165"/>
      <c r="D6" s="15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s="140" customFormat="1" ht="12.75">
      <c r="A7" s="172" t="s">
        <v>3</v>
      </c>
      <c r="B7" s="152"/>
      <c r="C7" s="165"/>
      <c r="D7" s="150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140" customFormat="1" ht="12.75">
      <c r="A8" s="172" t="s">
        <v>4</v>
      </c>
      <c r="B8" s="155">
        <v>30000</v>
      </c>
      <c r="C8" s="165"/>
      <c r="D8" s="150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s="140" customFormat="1" ht="12.75">
      <c r="A9" s="172" t="s">
        <v>5</v>
      </c>
      <c r="B9" s="155">
        <v>15000</v>
      </c>
      <c r="C9" s="165"/>
      <c r="D9" s="15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s="140" customFormat="1" ht="12.75">
      <c r="A10" s="172" t="s">
        <v>6</v>
      </c>
      <c r="B10" s="155">
        <v>5000</v>
      </c>
      <c r="C10" s="165"/>
      <c r="D10" s="150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s="140" customFormat="1" ht="12.75">
      <c r="A11" s="172" t="s">
        <v>7</v>
      </c>
      <c r="B11" s="168">
        <v>125</v>
      </c>
      <c r="C11" s="165"/>
      <c r="D11" s="150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s="140" customFormat="1" ht="13.5">
      <c r="A12" s="172" t="s">
        <v>8</v>
      </c>
      <c r="B12" s="156">
        <f>SUM(B8:B11)</f>
        <v>50125</v>
      </c>
      <c r="C12" s="185" t="s">
        <v>216</v>
      </c>
      <c r="D12" s="150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s="140" customFormat="1" ht="12.75">
      <c r="A13" s="172"/>
      <c r="B13" s="155"/>
      <c r="C13" s="165"/>
      <c r="D13" s="15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s="140" customFormat="1" ht="12.75">
      <c r="A14" s="173" t="s">
        <v>9</v>
      </c>
      <c r="B14" s="49"/>
      <c r="C14" s="165"/>
      <c r="D14" s="150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s="140" customFormat="1" ht="12.75">
      <c r="A15" s="172" t="s">
        <v>10</v>
      </c>
      <c r="B15" s="168">
        <v>38650</v>
      </c>
      <c r="C15" s="169"/>
      <c r="D15" s="150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s="140" customFormat="1" ht="13.5">
      <c r="A16" s="172" t="s">
        <v>11</v>
      </c>
      <c r="B16" s="156">
        <f>B15</f>
        <v>38650</v>
      </c>
      <c r="C16" s="165"/>
      <c r="D16" s="15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s="140" customFormat="1" ht="13.5">
      <c r="A17" s="172"/>
      <c r="B17" s="170"/>
      <c r="C17" s="165"/>
      <c r="D17" s="150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s="140" customFormat="1" ht="12.75">
      <c r="A18" s="173" t="s">
        <v>12</v>
      </c>
      <c r="B18" s="152"/>
      <c r="C18" s="165"/>
      <c r="D18" s="15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s="140" customFormat="1" ht="12.75">
      <c r="A19" s="172" t="s">
        <v>13</v>
      </c>
      <c r="B19" s="152"/>
      <c r="C19" s="165"/>
      <c r="D19" s="15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s="140" customFormat="1" ht="12.75">
      <c r="A20" s="172" t="s">
        <v>14</v>
      </c>
      <c r="B20" s="155">
        <f>-75000</f>
        <v>-75000</v>
      </c>
      <c r="C20" s="169"/>
      <c r="D20" s="15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s="140" customFormat="1" ht="12.75">
      <c r="A21" s="172" t="s">
        <v>15</v>
      </c>
      <c r="B21" s="155">
        <v>65000</v>
      </c>
      <c r="C21" s="169" t="s">
        <v>94</v>
      </c>
      <c r="D21" s="15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s="140" customFormat="1" ht="12.75">
      <c r="A22" s="172" t="s">
        <v>16</v>
      </c>
      <c r="B22" s="155">
        <v>8000</v>
      </c>
      <c r="C22" s="169" t="s">
        <v>94</v>
      </c>
      <c r="D22" s="15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s="140" customFormat="1" ht="12.75">
      <c r="A23" s="172" t="s">
        <v>17</v>
      </c>
      <c r="B23" s="155">
        <v>6000</v>
      </c>
      <c r="C23" s="169" t="s">
        <v>94</v>
      </c>
      <c r="D23" s="15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s="140" customFormat="1" ht="12.75">
      <c r="A24" s="172" t="s">
        <v>100</v>
      </c>
      <c r="B24" s="168">
        <v>10000</v>
      </c>
      <c r="C24" s="169" t="s">
        <v>94</v>
      </c>
      <c r="D24" s="15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s="140" customFormat="1" ht="13.5">
      <c r="A25" s="174" t="s">
        <v>18</v>
      </c>
      <c r="B25" s="177">
        <f>SUM(B20:B24)</f>
        <v>14000</v>
      </c>
      <c r="C25" s="165"/>
      <c r="D25" s="15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 s="140" customFormat="1" ht="13.5">
      <c r="A26" s="180" t="s">
        <v>19</v>
      </c>
      <c r="B26" s="181">
        <f>B12+B16+B25</f>
        <v>102775</v>
      </c>
      <c r="C26" s="184" t="s">
        <v>271</v>
      </c>
      <c r="D26" s="15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spans="1:255" s="140" customFormat="1" ht="12.75">
      <c r="A27" s="175"/>
      <c r="B27" s="178"/>
      <c r="C27" s="165"/>
      <c r="D27" s="15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140" customFormat="1" ht="13.5">
      <c r="A28" s="173"/>
      <c r="B28" s="170"/>
      <c r="C28" s="165"/>
      <c r="D28" s="15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140" customFormat="1" ht="13.5">
      <c r="A29" s="157" t="s">
        <v>20</v>
      </c>
      <c r="B29" s="152"/>
      <c r="C29" s="165"/>
      <c r="D29" s="15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 s="140" customFormat="1" ht="12.75">
      <c r="A30" s="172" t="s">
        <v>21</v>
      </c>
      <c r="B30" s="152"/>
      <c r="C30" s="165"/>
      <c r="D30" s="15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s="140" customFormat="1" ht="12.75">
      <c r="A31" s="172" t="s">
        <v>22</v>
      </c>
      <c r="B31" s="155">
        <v>2000</v>
      </c>
      <c r="C31" s="165"/>
      <c r="D31" s="15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s="140" customFormat="1" ht="12.75">
      <c r="A32" s="173" t="s">
        <v>23</v>
      </c>
      <c r="B32" s="168">
        <v>10000</v>
      </c>
      <c r="C32" s="165"/>
      <c r="D32" s="15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140" customFormat="1" ht="13.5">
      <c r="A33" s="173" t="s">
        <v>24</v>
      </c>
      <c r="B33" s="158">
        <f>SUM(B31:B32)</f>
        <v>12000</v>
      </c>
      <c r="C33" s="165"/>
      <c r="D33" s="15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140" customFormat="1" ht="12.75">
      <c r="A34" s="173" t="s">
        <v>25</v>
      </c>
      <c r="B34" s="161"/>
      <c r="C34" s="165"/>
      <c r="D34" s="15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140" customFormat="1" ht="12.75">
      <c r="A35" s="172" t="s">
        <v>26</v>
      </c>
      <c r="B35" s="155">
        <f>1000</f>
        <v>1000</v>
      </c>
      <c r="C35" s="169"/>
      <c r="D35" s="15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140" customFormat="1" ht="13.5">
      <c r="A36" s="172" t="s">
        <v>27</v>
      </c>
      <c r="B36" s="155">
        <f>128535.23</f>
        <v>128535.23</v>
      </c>
      <c r="C36" s="184" t="s">
        <v>240</v>
      </c>
      <c r="D36" s="15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140" customFormat="1" ht="13.5">
      <c r="A37" s="172" t="s">
        <v>28</v>
      </c>
      <c r="B37" s="155">
        <v>-387898.95</v>
      </c>
      <c r="C37" s="185" t="s">
        <v>241</v>
      </c>
      <c r="D37" s="15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140" customFormat="1" ht="12.75">
      <c r="A38" s="173" t="s">
        <v>29</v>
      </c>
      <c r="B38" s="171">
        <v>349538.72</v>
      </c>
      <c r="C38" s="169"/>
      <c r="D38" s="15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140" customFormat="1" ht="13.5">
      <c r="A39" s="174" t="s">
        <v>30</v>
      </c>
      <c r="B39" s="177">
        <f>SUM(B35:B38)</f>
        <v>91174.99999999994</v>
      </c>
      <c r="C39" s="169" t="s">
        <v>94</v>
      </c>
      <c r="D39" s="15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140" customFormat="1" ht="13.5">
      <c r="A40" s="180" t="s">
        <v>31</v>
      </c>
      <c r="B40" s="181">
        <f>B33+B39</f>
        <v>103174.99999999994</v>
      </c>
      <c r="C40" s="185" t="s">
        <v>242</v>
      </c>
      <c r="D40" s="15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4" ht="12.75">
      <c r="A41" s="182"/>
      <c r="B41" s="183"/>
      <c r="C41" s="137" t="s">
        <v>94</v>
      </c>
      <c r="D41" s="162"/>
    </row>
  </sheetData>
  <mergeCells count="2">
    <mergeCell ref="A1:B1"/>
    <mergeCell ref="A2:B2"/>
  </mergeCells>
  <printOptions/>
  <pageMargins left="0.75" right="0.75" top="1" bottom="1" header="0.5" footer="0.5"/>
  <pageSetup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showGridLines="0" zoomScale="150" zoomScaleNormal="150" workbookViewId="0" topLeftCell="A1">
      <selection activeCell="A8" sqref="A8"/>
    </sheetView>
  </sheetViews>
  <sheetFormatPr defaultColWidth="10.296875" defaultRowHeight="19.5" customHeight="1"/>
  <cols>
    <col min="1" max="1" width="14.3984375" style="210" bestFit="1" customWidth="1"/>
    <col min="2" max="12" width="10.09765625" style="210" customWidth="1"/>
    <col min="13" max="13" width="11.3984375" style="210" customWidth="1"/>
    <col min="14" max="15" width="10.09765625" style="210" customWidth="1"/>
    <col min="16" max="16" width="13.3984375" style="210" customWidth="1"/>
    <col min="17" max="16384" width="10.296875" style="210" customWidth="1"/>
  </cols>
  <sheetData>
    <row r="1" spans="1:256" s="208" customFormat="1" ht="18" customHeight="1">
      <c r="A1" s="186"/>
      <c r="B1" s="187" t="s">
        <v>32</v>
      </c>
      <c r="C1" s="187" t="s">
        <v>94</v>
      </c>
      <c r="D1" s="187" t="s">
        <v>94</v>
      </c>
      <c r="E1" s="187" t="s">
        <v>33</v>
      </c>
      <c r="F1" s="187" t="s">
        <v>34</v>
      </c>
      <c r="G1" s="187" t="s">
        <v>167</v>
      </c>
      <c r="H1" s="187" t="s">
        <v>168</v>
      </c>
      <c r="I1" s="187" t="s">
        <v>169</v>
      </c>
      <c r="J1" s="187"/>
      <c r="K1" s="187" t="s">
        <v>170</v>
      </c>
      <c r="L1" s="187" t="s">
        <v>32</v>
      </c>
      <c r="M1" s="187" t="s">
        <v>171</v>
      </c>
      <c r="N1" s="188" t="s">
        <v>172</v>
      </c>
      <c r="O1" s="189" t="s">
        <v>172</v>
      </c>
      <c r="P1" s="190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spans="1:256" s="208" customFormat="1" ht="18" customHeight="1">
      <c r="A2" s="193"/>
      <c r="B2" s="194" t="s">
        <v>173</v>
      </c>
      <c r="C2" s="194" t="s">
        <v>174</v>
      </c>
      <c r="D2" s="194" t="s">
        <v>175</v>
      </c>
      <c r="E2" s="209">
        <v>0.0765</v>
      </c>
      <c r="F2" s="194" t="s">
        <v>176</v>
      </c>
      <c r="G2" s="194" t="s">
        <v>177</v>
      </c>
      <c r="H2" s="194" t="s">
        <v>178</v>
      </c>
      <c r="I2" s="194" t="s">
        <v>179</v>
      </c>
      <c r="J2" s="194" t="s">
        <v>180</v>
      </c>
      <c r="K2" s="194" t="s">
        <v>181</v>
      </c>
      <c r="L2" s="194" t="s">
        <v>182</v>
      </c>
      <c r="M2" s="194" t="s">
        <v>217</v>
      </c>
      <c r="N2" s="196" t="s">
        <v>175</v>
      </c>
      <c r="O2" s="58" t="s">
        <v>218</v>
      </c>
      <c r="P2" s="197" t="s">
        <v>219</v>
      </c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spans="1:256" s="208" customFormat="1" ht="18" customHeight="1">
      <c r="A3" s="193" t="s">
        <v>32</v>
      </c>
      <c r="B3" s="194" t="s">
        <v>220</v>
      </c>
      <c r="C3" s="194" t="s">
        <v>221</v>
      </c>
      <c r="D3" s="194" t="s">
        <v>222</v>
      </c>
      <c r="E3" s="195" t="s">
        <v>223</v>
      </c>
      <c r="F3" s="194" t="s">
        <v>223</v>
      </c>
      <c r="G3" s="194" t="s">
        <v>224</v>
      </c>
      <c r="H3" s="194" t="s">
        <v>225</v>
      </c>
      <c r="I3" s="194" t="s">
        <v>226</v>
      </c>
      <c r="J3" s="194" t="s">
        <v>227</v>
      </c>
      <c r="K3" s="194" t="s">
        <v>228</v>
      </c>
      <c r="L3" s="194" t="s">
        <v>229</v>
      </c>
      <c r="M3" s="194" t="s">
        <v>230</v>
      </c>
      <c r="N3" s="196" t="s">
        <v>231</v>
      </c>
      <c r="O3" s="58" t="s">
        <v>232</v>
      </c>
      <c r="P3" s="197" t="s">
        <v>233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</row>
    <row r="4" spans="1:16" ht="18.75" customHeight="1">
      <c r="A4" s="198"/>
      <c r="B4" s="194" t="s">
        <v>234</v>
      </c>
      <c r="C4" s="194" t="s">
        <v>273</v>
      </c>
      <c r="D4" s="194" t="s">
        <v>274</v>
      </c>
      <c r="E4" s="195">
        <v>102000</v>
      </c>
      <c r="F4" s="194" t="s">
        <v>275</v>
      </c>
      <c r="G4" s="194" t="s">
        <v>276</v>
      </c>
      <c r="H4" s="194" t="s">
        <v>277</v>
      </c>
      <c r="I4" s="194" t="s">
        <v>278</v>
      </c>
      <c r="J4" s="194" t="s">
        <v>278</v>
      </c>
      <c r="K4" s="194" t="s">
        <v>279</v>
      </c>
      <c r="L4" s="194" t="s">
        <v>278</v>
      </c>
      <c r="M4" s="194" t="s">
        <v>280</v>
      </c>
      <c r="N4" s="196" t="s">
        <v>181</v>
      </c>
      <c r="O4" s="58" t="s">
        <v>281</v>
      </c>
      <c r="P4" s="197" t="s">
        <v>282</v>
      </c>
    </row>
    <row r="5" spans="1:16" ht="25.5" customHeight="1">
      <c r="A5" s="198"/>
      <c r="B5" s="199"/>
      <c r="C5" s="200"/>
      <c r="D5" s="199"/>
      <c r="E5" s="199"/>
      <c r="F5" s="48"/>
      <c r="G5" s="48"/>
      <c r="H5" s="48"/>
      <c r="I5" s="48"/>
      <c r="J5" s="48"/>
      <c r="K5" s="48"/>
      <c r="L5" s="48"/>
      <c r="M5" s="48"/>
      <c r="N5" s="199"/>
      <c r="O5" s="48"/>
      <c r="P5" s="201"/>
    </row>
    <row r="6" spans="1:16" ht="25.5" customHeight="1">
      <c r="A6" s="198" t="s">
        <v>283</v>
      </c>
      <c r="B6" s="48">
        <v>27</v>
      </c>
      <c r="C6" s="203">
        <v>2080</v>
      </c>
      <c r="D6" s="48">
        <f>B6*C6</f>
        <v>56160</v>
      </c>
      <c r="E6" s="199">
        <f>D6*0.0765</f>
        <v>4296.24</v>
      </c>
      <c r="F6" s="48" t="s">
        <v>284</v>
      </c>
      <c r="G6" s="48">
        <f>C6*0.1313</f>
        <v>273.104</v>
      </c>
      <c r="H6" s="48">
        <v>56</v>
      </c>
      <c r="I6" s="48">
        <f>650*12</f>
        <v>7800</v>
      </c>
      <c r="J6" s="48">
        <f>135*12</f>
        <v>1620</v>
      </c>
      <c r="K6" s="48">
        <f>D6*0.03</f>
        <v>1684.8</v>
      </c>
      <c r="L6" s="48">
        <f>40*12</f>
        <v>480</v>
      </c>
      <c r="M6" s="48">
        <f>B6*240</f>
        <v>6480</v>
      </c>
      <c r="N6" s="199">
        <f>D6+E6+G6+H6+I6+J6+K6+L6+M6</f>
        <v>78850.144</v>
      </c>
      <c r="O6" s="48">
        <f>N6/C6</f>
        <v>37.908723076923074</v>
      </c>
      <c r="P6" s="201">
        <f>SUM(O6-B6)/B6</f>
        <v>0.40402678062678055</v>
      </c>
    </row>
    <row r="7" spans="1:16" ht="25.5" customHeight="1">
      <c r="A7" s="202" t="s">
        <v>285</v>
      </c>
      <c r="B7" s="48">
        <v>27</v>
      </c>
      <c r="C7" s="203">
        <v>2080</v>
      </c>
      <c r="D7" s="48">
        <f>B7*C7</f>
        <v>56160</v>
      </c>
      <c r="E7" s="199">
        <f>D7*0.0765</f>
        <v>4296.24</v>
      </c>
      <c r="F7" s="48" t="s">
        <v>284</v>
      </c>
      <c r="G7" s="48">
        <f>C7*0.1313</f>
        <v>273.104</v>
      </c>
      <c r="H7" s="48">
        <v>56</v>
      </c>
      <c r="I7" s="48">
        <f>650*12</f>
        <v>7800</v>
      </c>
      <c r="J7" s="48">
        <f>135*12</f>
        <v>1620</v>
      </c>
      <c r="K7" s="48">
        <f>D7*0.03</f>
        <v>1684.8</v>
      </c>
      <c r="L7" s="48">
        <f>40*12</f>
        <v>480</v>
      </c>
      <c r="M7" s="48">
        <f>B7*240</f>
        <v>6480</v>
      </c>
      <c r="N7" s="199">
        <f>D7+E7+G7+H7+I7+J7+K7+L7+M7</f>
        <v>78850.144</v>
      </c>
      <c r="O7" s="48">
        <f>N7/C7</f>
        <v>37.908723076923074</v>
      </c>
      <c r="P7" s="201">
        <f>SUM(O7-B7)/B7</f>
        <v>0.40402678062678055</v>
      </c>
    </row>
    <row r="8" spans="1:16" s="205" customFormat="1" ht="25.5" customHeight="1">
      <c r="A8" s="191" t="s">
        <v>286</v>
      </c>
      <c r="B8" s="90">
        <f>SUM(B6:B7)</f>
        <v>54</v>
      </c>
      <c r="C8" s="192"/>
      <c r="D8" s="90">
        <f>SUM(D6:D7)</f>
        <v>112320</v>
      </c>
      <c r="E8" s="90">
        <f>SUM(E6:E7)</f>
        <v>8592.48</v>
      </c>
      <c r="F8" s="192"/>
      <c r="G8" s="90">
        <f aca="true" t="shared" si="0" ref="G8:O8">SUM(G6:G7)</f>
        <v>546.208</v>
      </c>
      <c r="H8" s="90">
        <f t="shared" si="0"/>
        <v>112</v>
      </c>
      <c r="I8" s="90">
        <f t="shared" si="0"/>
        <v>15600</v>
      </c>
      <c r="J8" s="90">
        <f t="shared" si="0"/>
        <v>3240</v>
      </c>
      <c r="K8" s="90">
        <f t="shared" si="0"/>
        <v>3369.6</v>
      </c>
      <c r="L8" s="90">
        <f t="shared" si="0"/>
        <v>960</v>
      </c>
      <c r="M8" s="90">
        <f t="shared" si="0"/>
        <v>12960</v>
      </c>
      <c r="N8" s="90">
        <f t="shared" si="0"/>
        <v>157700.288</v>
      </c>
      <c r="O8" s="90">
        <f t="shared" si="0"/>
        <v>75.81744615384615</v>
      </c>
      <c r="P8" s="206">
        <f>SUM(O8-B8)/B8</f>
        <v>0.40402678062678055</v>
      </c>
    </row>
    <row r="9" spans="1:16" ht="25.5" customHeight="1">
      <c r="A9" s="198"/>
      <c r="B9" s="48"/>
      <c r="C9" s="203"/>
      <c r="D9" s="48"/>
      <c r="E9" s="48"/>
      <c r="F9" s="203"/>
      <c r="G9" s="48"/>
      <c r="H9" s="48"/>
      <c r="I9" s="48"/>
      <c r="J9" s="48"/>
      <c r="K9" s="48"/>
      <c r="L9" s="48"/>
      <c r="M9" s="48"/>
      <c r="N9" s="48"/>
      <c r="O9" s="48"/>
      <c r="P9" s="201"/>
    </row>
    <row r="10" spans="1:16" ht="25.5" customHeight="1">
      <c r="A10" s="198" t="s">
        <v>287</v>
      </c>
      <c r="B10" s="48">
        <v>15</v>
      </c>
      <c r="C10" s="203">
        <v>2080</v>
      </c>
      <c r="D10" s="48">
        <f>B10*C10</f>
        <v>31200</v>
      </c>
      <c r="E10" s="199">
        <f>D10*0.0765</f>
        <v>2386.8</v>
      </c>
      <c r="F10" s="48">
        <f>D10*0.0143</f>
        <v>446.16</v>
      </c>
      <c r="G10" s="48">
        <f>C10*0.1313</f>
        <v>273.104</v>
      </c>
      <c r="H10" s="48">
        <v>56</v>
      </c>
      <c r="I10" s="48">
        <f>250*12</f>
        <v>3000</v>
      </c>
      <c r="J10" s="48">
        <f>45*12</f>
        <v>540</v>
      </c>
      <c r="K10" s="48">
        <f>D10*0.03</f>
        <v>936</v>
      </c>
      <c r="L10" s="48">
        <f>40*12</f>
        <v>480</v>
      </c>
      <c r="M10" s="48">
        <f>B10*240</f>
        <v>3600</v>
      </c>
      <c r="N10" s="199">
        <f>D10+E10+F10+G10+H10+I10+J10+K10+L10+M10</f>
        <v>42918.064000000006</v>
      </c>
      <c r="O10" s="48">
        <f>N10/C10</f>
        <v>20.633684615384617</v>
      </c>
      <c r="P10" s="201">
        <f>SUM(O10-B10)/B10</f>
        <v>0.37557897435897447</v>
      </c>
    </row>
    <row r="11" spans="1:16" ht="25.5" customHeight="1">
      <c r="A11" s="198" t="s">
        <v>288</v>
      </c>
      <c r="B11" s="48">
        <v>17</v>
      </c>
      <c r="C11" s="203">
        <v>2080</v>
      </c>
      <c r="D11" s="48">
        <f>B11*C11</f>
        <v>35360</v>
      </c>
      <c r="E11" s="199">
        <f>D11*0.0765</f>
        <v>2705.04</v>
      </c>
      <c r="F11" s="48">
        <f>D11*0.0143</f>
        <v>505.648</v>
      </c>
      <c r="G11" s="48">
        <f>C11*0.1313</f>
        <v>273.104</v>
      </c>
      <c r="H11" s="48">
        <v>56</v>
      </c>
      <c r="I11" s="48">
        <f>250*12</f>
        <v>3000</v>
      </c>
      <c r="J11" s="48">
        <f>45*12</f>
        <v>540</v>
      </c>
      <c r="K11" s="48">
        <f>D11*0.03</f>
        <v>1060.8</v>
      </c>
      <c r="L11" s="48">
        <f>40*12</f>
        <v>480</v>
      </c>
      <c r="M11" s="48">
        <f>B11*240</f>
        <v>4080</v>
      </c>
      <c r="N11" s="199">
        <f>D11+E11+F11+G11+H11+I11+J11+K11+L11+M11</f>
        <v>48060.592000000004</v>
      </c>
      <c r="O11" s="48">
        <f>N11/C11</f>
        <v>23.10605384615385</v>
      </c>
      <c r="P11" s="201">
        <f>SUM(O11-B11)/B11</f>
        <v>0.3591796380090499</v>
      </c>
    </row>
    <row r="12" spans="1:16" ht="25.5" customHeight="1">
      <c r="A12" s="198" t="s">
        <v>289</v>
      </c>
      <c r="B12" s="48">
        <v>12</v>
      </c>
      <c r="C12" s="203">
        <v>2080</v>
      </c>
      <c r="D12" s="48">
        <f>B12*C12</f>
        <v>24960</v>
      </c>
      <c r="E12" s="199">
        <f>D12*0.0765</f>
        <v>1909.44</v>
      </c>
      <c r="F12" s="48">
        <f>D12*0.0143</f>
        <v>356.928</v>
      </c>
      <c r="G12" s="48">
        <f>C12*0.1313</f>
        <v>273.104</v>
      </c>
      <c r="H12" s="48">
        <v>56</v>
      </c>
      <c r="I12" s="48">
        <f>250*12</f>
        <v>3000</v>
      </c>
      <c r="J12" s="48">
        <f>45*12</f>
        <v>540</v>
      </c>
      <c r="K12" s="48">
        <f>D12*0.03</f>
        <v>748.8</v>
      </c>
      <c r="L12" s="48">
        <f>40*12</f>
        <v>480</v>
      </c>
      <c r="M12" s="48">
        <f>B12*240</f>
        <v>2880</v>
      </c>
      <c r="N12" s="199">
        <f>D12+E12+F12+G12+H12+I12+J12+K12+L12+M12</f>
        <v>35204.272</v>
      </c>
      <c r="O12" s="48">
        <f>N12/C12</f>
        <v>16.92513076923077</v>
      </c>
      <c r="P12" s="201">
        <f>SUM(O12-B12)/B12</f>
        <v>0.4104275641025641</v>
      </c>
    </row>
    <row r="13" spans="1:16" ht="25.5" customHeight="1">
      <c r="A13" s="198" t="s">
        <v>290</v>
      </c>
      <c r="B13" s="48">
        <v>15</v>
      </c>
      <c r="C13" s="203">
        <v>2080</v>
      </c>
      <c r="D13" s="48">
        <f>B13*C13</f>
        <v>31200</v>
      </c>
      <c r="E13" s="199">
        <f>D13*0.0765</f>
        <v>2386.8</v>
      </c>
      <c r="F13" s="48">
        <f>D13*0.0143</f>
        <v>446.16</v>
      </c>
      <c r="G13" s="48">
        <f>C13*0.1313</f>
        <v>273.104</v>
      </c>
      <c r="H13" s="48">
        <v>56</v>
      </c>
      <c r="I13" s="48">
        <f>250*12</f>
        <v>3000</v>
      </c>
      <c r="J13" s="48">
        <f>45*12</f>
        <v>540</v>
      </c>
      <c r="K13" s="48">
        <f>D13*0.03</f>
        <v>936</v>
      </c>
      <c r="L13" s="48">
        <f>40*12</f>
        <v>480</v>
      </c>
      <c r="M13" s="48">
        <f>B13*240</f>
        <v>3600</v>
      </c>
      <c r="N13" s="199">
        <f>D13+E13+F13+G13+H13+I13+J13+K13+L13+M13</f>
        <v>42918.064000000006</v>
      </c>
      <c r="O13" s="48">
        <f>N13/C13</f>
        <v>20.633684615384617</v>
      </c>
      <c r="P13" s="201">
        <f>SUM(O13-B13)/B13</f>
        <v>0.37557897435897447</v>
      </c>
    </row>
    <row r="14" spans="1:16" s="205" customFormat="1" ht="25.5" customHeight="1">
      <c r="A14" s="191" t="s">
        <v>291</v>
      </c>
      <c r="B14" s="90">
        <f>SUM(B10:B13)</f>
        <v>59</v>
      </c>
      <c r="C14" s="192"/>
      <c r="D14" s="90">
        <f>SUM(D10:D13)</f>
        <v>122720</v>
      </c>
      <c r="E14" s="90">
        <f aca="true" t="shared" si="1" ref="E14:M14">SUM(E10:E13)</f>
        <v>9388.080000000002</v>
      </c>
      <c r="F14" s="90">
        <f t="shared" si="1"/>
        <v>1754.896</v>
      </c>
      <c r="G14" s="90">
        <f t="shared" si="1"/>
        <v>1092.416</v>
      </c>
      <c r="H14" s="90">
        <f t="shared" si="1"/>
        <v>224</v>
      </c>
      <c r="I14" s="90">
        <f t="shared" si="1"/>
        <v>12000</v>
      </c>
      <c r="J14" s="90">
        <f t="shared" si="1"/>
        <v>2160</v>
      </c>
      <c r="K14" s="90">
        <f t="shared" si="1"/>
        <v>3681.6</v>
      </c>
      <c r="L14" s="90">
        <f t="shared" si="1"/>
        <v>1920</v>
      </c>
      <c r="M14" s="90">
        <f t="shared" si="1"/>
        <v>14160</v>
      </c>
      <c r="N14" s="90">
        <f>SUM(N10:N13)</f>
        <v>169100.99200000003</v>
      </c>
      <c r="O14" s="90">
        <f>SUM(O10:O13)</f>
        <v>81.29855384615385</v>
      </c>
      <c r="P14" s="206">
        <f>SUM(O14-B14)/B14</f>
        <v>0.37794159061277716</v>
      </c>
    </row>
    <row r="15" spans="1:16" ht="15" customHeight="1">
      <c r="A15" s="247"/>
      <c r="B15" s="243"/>
      <c r="C15" s="243"/>
      <c r="D15" s="243"/>
      <c r="E15" s="243"/>
      <c r="F15" s="243"/>
      <c r="G15" s="243"/>
      <c r="H15" s="243"/>
      <c r="I15" s="243"/>
      <c r="J15" s="242"/>
      <c r="K15" s="242"/>
      <c r="L15" s="242"/>
      <c r="M15" s="242"/>
      <c r="N15" s="244"/>
      <c r="O15" s="242"/>
      <c r="P15" s="248"/>
    </row>
    <row r="16" spans="1:256" s="255" customFormat="1" ht="25.5" customHeight="1">
      <c r="A16" s="250" t="s">
        <v>198</v>
      </c>
      <c r="B16" s="251">
        <f>B8+B14</f>
        <v>113</v>
      </c>
      <c r="C16" s="252"/>
      <c r="D16" s="251">
        <f aca="true" t="shared" si="2" ref="D16:O16">D8+D14</f>
        <v>235040</v>
      </c>
      <c r="E16" s="251">
        <f t="shared" si="2"/>
        <v>17980.56</v>
      </c>
      <c r="F16" s="251">
        <f t="shared" si="2"/>
        <v>1754.896</v>
      </c>
      <c r="G16" s="251">
        <f t="shared" si="2"/>
        <v>1638.6239999999998</v>
      </c>
      <c r="H16" s="251">
        <f t="shared" si="2"/>
        <v>336</v>
      </c>
      <c r="I16" s="251">
        <f t="shared" si="2"/>
        <v>27600</v>
      </c>
      <c r="J16" s="251">
        <f t="shared" si="2"/>
        <v>5400</v>
      </c>
      <c r="K16" s="251">
        <f t="shared" si="2"/>
        <v>7051.2</v>
      </c>
      <c r="L16" s="251">
        <f t="shared" si="2"/>
        <v>2880</v>
      </c>
      <c r="M16" s="251">
        <f t="shared" si="2"/>
        <v>27120</v>
      </c>
      <c r="N16" s="251">
        <f t="shared" si="2"/>
        <v>326801.28</v>
      </c>
      <c r="O16" s="251">
        <f t="shared" si="2"/>
        <v>157.11599999999999</v>
      </c>
      <c r="P16" s="253">
        <f>SUM(O16-B16)/B16</f>
        <v>0.39040707964601756</v>
      </c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54"/>
      <c r="IU16" s="254"/>
      <c r="IV16" s="254"/>
    </row>
    <row r="17" spans="1:16" ht="25.5" customHeight="1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9"/>
    </row>
    <row r="18" spans="1:16" ht="25.5" customHeight="1">
      <c r="A18" s="198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58"/>
      <c r="O18" s="203"/>
      <c r="P18" s="204"/>
    </row>
    <row r="19" spans="241:256" ht="12" customHeight="1"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</row>
    <row r="20" spans="241:256" ht="19.5" customHeight="1"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="150" zoomScaleNormal="150" workbookViewId="0" topLeftCell="A1">
      <selection activeCell="A15" sqref="A15"/>
    </sheetView>
  </sheetViews>
  <sheetFormatPr defaultColWidth="10.296875" defaultRowHeight="19.5" customHeight="1"/>
  <cols>
    <col min="1" max="1" width="25.59765625" style="45" customWidth="1"/>
    <col min="2" max="2" width="13.8984375" style="45" customWidth="1"/>
    <col min="3" max="3" width="12.69921875" style="45" customWidth="1"/>
    <col min="4" max="4" width="11.3984375" style="45" customWidth="1"/>
    <col min="5" max="5" width="11.296875" style="45" customWidth="1"/>
    <col min="6" max="6" width="9.69921875" style="45" customWidth="1"/>
    <col min="7" max="7" width="11" style="45" customWidth="1"/>
    <col min="8" max="8" width="11.59765625" style="45" customWidth="1"/>
    <col min="9" max="9" width="1.69921875" style="45" customWidth="1"/>
    <col min="10" max="10" width="17.09765625" style="45" customWidth="1"/>
    <col min="11" max="11" width="21.09765625" style="45" customWidth="1"/>
    <col min="12" max="12" width="15.8984375" style="45" customWidth="1"/>
    <col min="13" max="16384" width="10.296875" style="45" customWidth="1"/>
  </cols>
  <sheetData>
    <row r="1" spans="1:12" ht="13.5">
      <c r="A1" s="211"/>
      <c r="B1" s="212"/>
      <c r="C1" s="212"/>
      <c r="D1" s="212"/>
      <c r="E1" s="213" t="s">
        <v>175</v>
      </c>
      <c r="F1" s="213" t="s">
        <v>181</v>
      </c>
      <c r="G1" s="212"/>
      <c r="H1" s="212"/>
      <c r="I1" s="212"/>
      <c r="J1" s="212"/>
      <c r="K1" s="212"/>
      <c r="L1" s="214"/>
    </row>
    <row r="2" spans="1:12" ht="13.5">
      <c r="A2" s="141"/>
      <c r="B2" s="49"/>
      <c r="C2" s="49"/>
      <c r="D2" s="49"/>
      <c r="E2" s="216" t="s">
        <v>292</v>
      </c>
      <c r="F2" s="216" t="s">
        <v>292</v>
      </c>
      <c r="G2" s="49"/>
      <c r="H2" s="49"/>
      <c r="I2" s="49"/>
      <c r="J2" s="49"/>
      <c r="K2" s="49"/>
      <c r="L2" s="150"/>
    </row>
    <row r="3" spans="1:256" s="208" customFormat="1" ht="25.5" customHeight="1">
      <c r="A3" s="215" t="s">
        <v>293</v>
      </c>
      <c r="B3" s="216"/>
      <c r="C3" s="216" t="s">
        <v>294</v>
      </c>
      <c r="D3" s="216" t="s">
        <v>175</v>
      </c>
      <c r="E3" s="216" t="s">
        <v>295</v>
      </c>
      <c r="F3" s="216" t="s">
        <v>296</v>
      </c>
      <c r="G3" s="216"/>
      <c r="H3" s="216"/>
      <c r="I3" s="216"/>
      <c r="J3" s="216"/>
      <c r="K3" s="216"/>
      <c r="L3" s="217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12" ht="12.75">
      <c r="A4" s="141"/>
      <c r="B4" s="49"/>
      <c r="C4" s="49"/>
      <c r="D4" s="49"/>
      <c r="E4" s="49"/>
      <c r="F4" s="49"/>
      <c r="G4" s="49"/>
      <c r="H4" s="49"/>
      <c r="I4" s="49"/>
      <c r="J4" s="49"/>
      <c r="K4" s="49"/>
      <c r="L4" s="150"/>
    </row>
    <row r="5" spans="1:12" ht="12.75">
      <c r="A5" s="141" t="s">
        <v>297</v>
      </c>
      <c r="B5" s="49"/>
      <c r="C5" s="218">
        <v>125</v>
      </c>
      <c r="D5" s="218">
        <f aca="true" t="shared" si="0" ref="D5:D24">C5*12</f>
        <v>1500</v>
      </c>
      <c r="E5" s="218">
        <f aca="true" t="shared" si="1" ref="E5:E24">D5/6</f>
        <v>250</v>
      </c>
      <c r="F5" s="218">
        <f aca="true" t="shared" si="2" ref="F5:F24">E5/2080</f>
        <v>0.1201923076923077</v>
      </c>
      <c r="G5" s="219"/>
      <c r="H5" s="49"/>
      <c r="I5" s="49"/>
      <c r="J5" s="49"/>
      <c r="K5" s="49"/>
      <c r="L5" s="150"/>
    </row>
    <row r="6" spans="1:12" ht="12.75">
      <c r="A6" s="141" t="s">
        <v>298</v>
      </c>
      <c r="B6" s="49"/>
      <c r="C6" s="218">
        <v>150</v>
      </c>
      <c r="D6" s="218">
        <f t="shared" si="0"/>
        <v>1800</v>
      </c>
      <c r="E6" s="218">
        <f t="shared" si="1"/>
        <v>300</v>
      </c>
      <c r="F6" s="218">
        <f t="shared" si="2"/>
        <v>0.14423076923076922</v>
      </c>
      <c r="G6" s="219"/>
      <c r="H6" s="49"/>
      <c r="I6" s="49"/>
      <c r="J6" s="49"/>
      <c r="K6" s="49"/>
      <c r="L6" s="150"/>
    </row>
    <row r="7" spans="1:12" ht="12.75">
      <c r="A7" s="141" t="s">
        <v>299</v>
      </c>
      <c r="B7" s="49"/>
      <c r="C7" s="218">
        <v>150</v>
      </c>
      <c r="D7" s="218">
        <f t="shared" si="0"/>
        <v>1800</v>
      </c>
      <c r="E7" s="218">
        <f t="shared" si="1"/>
        <v>300</v>
      </c>
      <c r="F7" s="218">
        <f t="shared" si="2"/>
        <v>0.14423076923076922</v>
      </c>
      <c r="G7" s="219"/>
      <c r="H7" s="49"/>
      <c r="I7" s="49"/>
      <c r="J7" s="49"/>
      <c r="K7" s="49"/>
      <c r="L7" s="150"/>
    </row>
    <row r="8" spans="1:12" ht="12.75">
      <c r="A8" s="141" t="s">
        <v>300</v>
      </c>
      <c r="B8" s="49"/>
      <c r="C8" s="218">
        <v>200</v>
      </c>
      <c r="D8" s="218">
        <f t="shared" si="0"/>
        <v>2400</v>
      </c>
      <c r="E8" s="218">
        <f t="shared" si="1"/>
        <v>400</v>
      </c>
      <c r="F8" s="218">
        <f t="shared" si="2"/>
        <v>0.19230769230769232</v>
      </c>
      <c r="G8" s="219"/>
      <c r="H8" s="49"/>
      <c r="I8" s="49"/>
      <c r="J8" s="49"/>
      <c r="K8" s="49"/>
      <c r="L8" s="150"/>
    </row>
    <row r="9" spans="1:12" ht="12.75">
      <c r="A9" s="141" t="s">
        <v>54</v>
      </c>
      <c r="B9" s="49"/>
      <c r="C9" s="218">
        <v>500</v>
      </c>
      <c r="D9" s="218">
        <f t="shared" si="0"/>
        <v>6000</v>
      </c>
      <c r="E9" s="218">
        <f t="shared" si="1"/>
        <v>1000</v>
      </c>
      <c r="F9" s="218">
        <f t="shared" si="2"/>
        <v>0.4807692307692308</v>
      </c>
      <c r="G9" s="219"/>
      <c r="H9" s="49"/>
      <c r="I9" s="49"/>
      <c r="J9" s="49"/>
      <c r="K9" s="49"/>
      <c r="L9" s="150"/>
    </row>
    <row r="10" spans="1:12" ht="12.75">
      <c r="A10" s="141" t="s">
        <v>55</v>
      </c>
      <c r="B10" s="49"/>
      <c r="C10" s="218">
        <v>200</v>
      </c>
      <c r="D10" s="218">
        <f t="shared" si="0"/>
        <v>2400</v>
      </c>
      <c r="E10" s="218">
        <f t="shared" si="1"/>
        <v>400</v>
      </c>
      <c r="F10" s="218">
        <f t="shared" si="2"/>
        <v>0.19230769230769232</v>
      </c>
      <c r="G10" s="219"/>
      <c r="H10" s="49"/>
      <c r="I10" s="49"/>
      <c r="J10" s="49"/>
      <c r="K10" s="49"/>
      <c r="L10" s="150"/>
    </row>
    <row r="11" spans="1:12" ht="12.75">
      <c r="A11" s="141" t="s">
        <v>56</v>
      </c>
      <c r="B11" s="49"/>
      <c r="C11" s="218">
        <v>1500</v>
      </c>
      <c r="D11" s="218">
        <f t="shared" si="0"/>
        <v>18000</v>
      </c>
      <c r="E11" s="218">
        <f t="shared" si="1"/>
        <v>3000</v>
      </c>
      <c r="F11" s="218">
        <f t="shared" si="2"/>
        <v>1.4423076923076923</v>
      </c>
      <c r="G11" s="219"/>
      <c r="H11" s="49"/>
      <c r="I11" s="49"/>
      <c r="J11" s="49"/>
      <c r="K11" s="49"/>
      <c r="L11" s="150"/>
    </row>
    <row r="12" spans="1:12" ht="12.75">
      <c r="A12" s="141" t="s">
        <v>57</v>
      </c>
      <c r="B12" s="49"/>
      <c r="C12" s="218">
        <v>600</v>
      </c>
      <c r="D12" s="218">
        <f t="shared" si="0"/>
        <v>7200</v>
      </c>
      <c r="E12" s="218">
        <f t="shared" si="1"/>
        <v>1200</v>
      </c>
      <c r="F12" s="218">
        <f t="shared" si="2"/>
        <v>0.5769230769230769</v>
      </c>
      <c r="G12" s="219"/>
      <c r="H12" s="49"/>
      <c r="I12" s="49"/>
      <c r="J12" s="49"/>
      <c r="K12" s="49"/>
      <c r="L12" s="150"/>
    </row>
    <row r="13" spans="1:12" ht="12.75">
      <c r="A13" s="141" t="s">
        <v>58</v>
      </c>
      <c r="B13" s="49"/>
      <c r="C13" s="218">
        <v>300</v>
      </c>
      <c r="D13" s="218">
        <f t="shared" si="0"/>
        <v>3600</v>
      </c>
      <c r="E13" s="218">
        <f t="shared" si="1"/>
        <v>600</v>
      </c>
      <c r="F13" s="218">
        <f t="shared" si="2"/>
        <v>0.28846153846153844</v>
      </c>
      <c r="G13" s="219"/>
      <c r="H13" s="49"/>
      <c r="I13" s="49"/>
      <c r="J13" s="49"/>
      <c r="K13" s="49"/>
      <c r="L13" s="150"/>
    </row>
    <row r="14" spans="1:12" ht="12.75">
      <c r="A14" s="141" t="s">
        <v>59</v>
      </c>
      <c r="B14" s="49"/>
      <c r="C14" s="218">
        <v>50</v>
      </c>
      <c r="D14" s="218">
        <f t="shared" si="0"/>
        <v>600</v>
      </c>
      <c r="E14" s="218">
        <f t="shared" si="1"/>
        <v>100</v>
      </c>
      <c r="F14" s="218">
        <f t="shared" si="2"/>
        <v>0.04807692307692308</v>
      </c>
      <c r="G14" s="219"/>
      <c r="H14" s="49"/>
      <c r="I14" s="49"/>
      <c r="J14" s="49"/>
      <c r="K14" s="49"/>
      <c r="L14" s="150"/>
    </row>
    <row r="15" spans="1:12" ht="12.75">
      <c r="A15" s="141" t="s">
        <v>60</v>
      </c>
      <c r="B15" s="49"/>
      <c r="C15" s="218">
        <v>500</v>
      </c>
      <c r="D15" s="218">
        <f t="shared" si="0"/>
        <v>6000</v>
      </c>
      <c r="E15" s="218">
        <f t="shared" si="1"/>
        <v>1000</v>
      </c>
      <c r="F15" s="218">
        <f t="shared" si="2"/>
        <v>0.4807692307692308</v>
      </c>
      <c r="G15" s="219"/>
      <c r="H15" s="49"/>
      <c r="I15" s="49"/>
      <c r="J15" s="49"/>
      <c r="K15" s="49"/>
      <c r="L15" s="150"/>
    </row>
    <row r="16" spans="1:12" ht="12.75">
      <c r="A16" s="141" t="s">
        <v>61</v>
      </c>
      <c r="B16" s="49"/>
      <c r="C16" s="218">
        <v>1200</v>
      </c>
      <c r="D16" s="218">
        <f t="shared" si="0"/>
        <v>14400</v>
      </c>
      <c r="E16" s="218">
        <f t="shared" si="1"/>
        <v>2400</v>
      </c>
      <c r="F16" s="218">
        <f t="shared" si="2"/>
        <v>1.1538461538461537</v>
      </c>
      <c r="G16" s="219"/>
      <c r="H16" s="49"/>
      <c r="I16" s="49"/>
      <c r="J16" s="49"/>
      <c r="K16" s="49"/>
      <c r="L16" s="150"/>
    </row>
    <row r="17" spans="1:12" ht="12.75">
      <c r="A17" s="141" t="s">
        <v>62</v>
      </c>
      <c r="B17" s="49"/>
      <c r="C17" s="218">
        <v>75</v>
      </c>
      <c r="D17" s="218">
        <f t="shared" si="0"/>
        <v>900</v>
      </c>
      <c r="E17" s="218">
        <f t="shared" si="1"/>
        <v>150</v>
      </c>
      <c r="F17" s="218">
        <f t="shared" si="2"/>
        <v>0.07211538461538461</v>
      </c>
      <c r="G17" s="219"/>
      <c r="H17" s="49"/>
      <c r="I17" s="49"/>
      <c r="J17" s="49"/>
      <c r="K17" s="49"/>
      <c r="L17" s="150"/>
    </row>
    <row r="18" spans="1:12" ht="12.75">
      <c r="A18" s="141" t="s">
        <v>63</v>
      </c>
      <c r="B18" s="49"/>
      <c r="C18" s="218">
        <v>250</v>
      </c>
      <c r="D18" s="218">
        <f t="shared" si="0"/>
        <v>3000</v>
      </c>
      <c r="E18" s="218">
        <f t="shared" si="1"/>
        <v>500</v>
      </c>
      <c r="F18" s="218">
        <f t="shared" si="2"/>
        <v>0.2403846153846154</v>
      </c>
      <c r="G18" s="219"/>
      <c r="H18" s="49"/>
      <c r="I18" s="49"/>
      <c r="J18" s="49"/>
      <c r="K18" s="49"/>
      <c r="L18" s="150"/>
    </row>
    <row r="19" spans="1:12" ht="12.75">
      <c r="A19" s="141" t="s">
        <v>64</v>
      </c>
      <c r="B19" s="49"/>
      <c r="C19" s="218">
        <v>2000</v>
      </c>
      <c r="D19" s="218">
        <f t="shared" si="0"/>
        <v>24000</v>
      </c>
      <c r="E19" s="218">
        <f t="shared" si="1"/>
        <v>4000</v>
      </c>
      <c r="F19" s="218">
        <f t="shared" si="2"/>
        <v>1.9230769230769231</v>
      </c>
      <c r="G19" s="219"/>
      <c r="H19" s="49"/>
      <c r="I19" s="49"/>
      <c r="J19" s="49"/>
      <c r="K19" s="49"/>
      <c r="L19" s="150"/>
    </row>
    <row r="20" spans="1:12" ht="12.75">
      <c r="A20" s="141" t="s">
        <v>65</v>
      </c>
      <c r="B20" s="49"/>
      <c r="C20" s="218">
        <v>350</v>
      </c>
      <c r="D20" s="218">
        <f t="shared" si="0"/>
        <v>4200</v>
      </c>
      <c r="E20" s="218">
        <f t="shared" si="1"/>
        <v>700</v>
      </c>
      <c r="F20" s="218">
        <f t="shared" si="2"/>
        <v>0.33653846153846156</v>
      </c>
      <c r="G20" s="219"/>
      <c r="H20" s="49"/>
      <c r="I20" s="49"/>
      <c r="J20" s="49"/>
      <c r="K20" s="49"/>
      <c r="L20" s="150"/>
    </row>
    <row r="21" spans="1:12" ht="12.75">
      <c r="A21" s="141" t="s">
        <v>66</v>
      </c>
      <c r="B21" s="49"/>
      <c r="C21" s="218">
        <v>40</v>
      </c>
      <c r="D21" s="218">
        <f t="shared" si="0"/>
        <v>480</v>
      </c>
      <c r="E21" s="218">
        <f t="shared" si="1"/>
        <v>80</v>
      </c>
      <c r="F21" s="218">
        <f t="shared" si="2"/>
        <v>0.038461538461538464</v>
      </c>
      <c r="G21" s="219"/>
      <c r="H21" s="49"/>
      <c r="I21" s="49"/>
      <c r="J21" s="49"/>
      <c r="K21" s="49"/>
      <c r="L21" s="150"/>
    </row>
    <row r="22" spans="1:12" ht="12.75">
      <c r="A22" s="141" t="s">
        <v>67</v>
      </c>
      <c r="B22" s="49"/>
      <c r="C22" s="218">
        <v>250</v>
      </c>
      <c r="D22" s="218">
        <f t="shared" si="0"/>
        <v>3000</v>
      </c>
      <c r="E22" s="218">
        <f t="shared" si="1"/>
        <v>500</v>
      </c>
      <c r="F22" s="218">
        <f t="shared" si="2"/>
        <v>0.2403846153846154</v>
      </c>
      <c r="G22" s="219"/>
      <c r="H22" s="49"/>
      <c r="I22" s="49"/>
      <c r="J22" s="49"/>
      <c r="K22" s="49"/>
      <c r="L22" s="150"/>
    </row>
    <row r="23" spans="1:12" ht="12.75">
      <c r="A23" s="141" t="s">
        <v>68</v>
      </c>
      <c r="B23" s="49"/>
      <c r="C23" s="218">
        <v>300</v>
      </c>
      <c r="D23" s="218">
        <f t="shared" si="0"/>
        <v>3600</v>
      </c>
      <c r="E23" s="218">
        <f t="shared" si="1"/>
        <v>600</v>
      </c>
      <c r="F23" s="218">
        <f t="shared" si="2"/>
        <v>0.28846153846153844</v>
      </c>
      <c r="G23" s="219"/>
      <c r="H23" s="49"/>
      <c r="I23" s="49"/>
      <c r="J23" s="49"/>
      <c r="K23" s="49"/>
      <c r="L23" s="150"/>
    </row>
    <row r="24" spans="1:12" ht="12.75">
      <c r="A24" s="141" t="s">
        <v>235</v>
      </c>
      <c r="B24" s="49"/>
      <c r="C24" s="218">
        <v>700</v>
      </c>
      <c r="D24" s="218">
        <f t="shared" si="0"/>
        <v>8400</v>
      </c>
      <c r="E24" s="218">
        <f t="shared" si="1"/>
        <v>1400</v>
      </c>
      <c r="F24" s="218">
        <f t="shared" si="2"/>
        <v>0.6730769230769231</v>
      </c>
      <c r="G24" s="219"/>
      <c r="H24" s="49"/>
      <c r="I24" s="49"/>
      <c r="J24" s="49"/>
      <c r="K24" s="49"/>
      <c r="L24" s="150"/>
    </row>
    <row r="25" spans="1:12" ht="12.75">
      <c r="A25" s="226"/>
      <c r="B25" s="228"/>
      <c r="C25" s="227"/>
      <c r="D25" s="227" t="s">
        <v>94</v>
      </c>
      <c r="E25" s="227" t="s">
        <v>94</v>
      </c>
      <c r="F25" s="227"/>
      <c r="G25" s="49"/>
      <c r="H25" s="49"/>
      <c r="I25" s="49"/>
      <c r="J25" s="49"/>
      <c r="K25" s="49"/>
      <c r="L25" s="150"/>
    </row>
    <row r="26" spans="1:256" s="208" customFormat="1" ht="15.75" customHeight="1">
      <c r="A26" s="232" t="s">
        <v>236</v>
      </c>
      <c r="B26" s="234"/>
      <c r="C26" s="233">
        <f>SUM(C5:C25)</f>
        <v>9440</v>
      </c>
      <c r="D26" s="233">
        <f>SUM(D5:D25)</f>
        <v>113280</v>
      </c>
      <c r="E26" s="233">
        <f>D26/6</f>
        <v>18880</v>
      </c>
      <c r="F26" s="233">
        <f>E26/2080</f>
        <v>9.076923076923077</v>
      </c>
      <c r="G26" s="216"/>
      <c r="H26" s="216"/>
      <c r="I26" s="216"/>
      <c r="J26" s="216"/>
      <c r="K26" s="216"/>
      <c r="L26" s="217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  <c r="IT26" s="222"/>
      <c r="IU26" s="222"/>
      <c r="IV26" s="222"/>
    </row>
    <row r="27" spans="1:12" ht="12.75">
      <c r="A27" s="230"/>
      <c r="B27" s="178"/>
      <c r="C27" s="178"/>
      <c r="D27" s="178"/>
      <c r="E27" s="178"/>
      <c r="F27" s="178"/>
      <c r="G27" s="49"/>
      <c r="H27" s="49"/>
      <c r="I27" s="49"/>
      <c r="J27" s="49"/>
      <c r="K27" s="49"/>
      <c r="L27" s="150"/>
    </row>
    <row r="28" spans="1:12" ht="12.75">
      <c r="A28" s="14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50"/>
    </row>
    <row r="29" spans="1:12" ht="12.75">
      <c r="A29" s="141"/>
      <c r="B29" s="218"/>
      <c r="C29" s="218"/>
      <c r="D29" s="218"/>
      <c r="E29" s="218"/>
      <c r="F29" s="49"/>
      <c r="G29" s="49"/>
      <c r="H29" s="49"/>
      <c r="I29" s="49"/>
      <c r="J29" s="49"/>
      <c r="K29" s="49"/>
      <c r="L29" s="150"/>
    </row>
    <row r="30" spans="1:12" s="241" customFormat="1" ht="67.5" customHeight="1">
      <c r="A30" s="237" t="s">
        <v>237</v>
      </c>
      <c r="B30" s="238" t="s">
        <v>238</v>
      </c>
      <c r="C30" s="238" t="s">
        <v>239</v>
      </c>
      <c r="D30" s="239" t="s">
        <v>71</v>
      </c>
      <c r="E30" s="239" t="s">
        <v>72</v>
      </c>
      <c r="F30" s="239" t="s">
        <v>73</v>
      </c>
      <c r="G30" s="239" t="s">
        <v>74</v>
      </c>
      <c r="H30" s="238" t="s">
        <v>75</v>
      </c>
      <c r="I30" s="239"/>
      <c r="J30" s="238" t="s">
        <v>76</v>
      </c>
      <c r="K30" s="238" t="s">
        <v>301</v>
      </c>
      <c r="L30" s="240" t="s">
        <v>302</v>
      </c>
    </row>
    <row r="31" spans="1:12" ht="12.75">
      <c r="A31" s="141"/>
      <c r="B31" s="218"/>
      <c r="C31" s="218"/>
      <c r="D31" s="49"/>
      <c r="E31" s="49"/>
      <c r="F31" s="49"/>
      <c r="G31" s="49"/>
      <c r="H31" s="218"/>
      <c r="I31" s="49"/>
      <c r="J31" s="218"/>
      <c r="K31" s="218"/>
      <c r="L31" s="220"/>
    </row>
    <row r="32" spans="1:12" ht="12.75">
      <c r="A32" s="141" t="s">
        <v>283</v>
      </c>
      <c r="B32" s="218">
        <v>78850.14</v>
      </c>
      <c r="C32" s="218">
        <v>37.91</v>
      </c>
      <c r="D32" s="218">
        <f>C32*0.35</f>
        <v>13.268499999999998</v>
      </c>
      <c r="E32" s="218">
        <f>F26</f>
        <v>9.076923076923077</v>
      </c>
      <c r="F32" s="218">
        <f>D32+E32</f>
        <v>22.345423076923076</v>
      </c>
      <c r="G32" s="218">
        <f>C32+F32</f>
        <v>60.25542307692307</v>
      </c>
      <c r="H32" s="218">
        <f>G32*1.3</f>
        <v>78.33205</v>
      </c>
      <c r="I32" s="49"/>
      <c r="J32" s="218">
        <f>H32*2080</f>
        <v>162930.664</v>
      </c>
      <c r="K32" s="218">
        <f>J32/4</f>
        <v>40732.666</v>
      </c>
      <c r="L32" s="220">
        <f>K32/3</f>
        <v>13577.555333333332</v>
      </c>
    </row>
    <row r="33" spans="1:12" ht="12.75">
      <c r="A33" s="221" t="s">
        <v>285</v>
      </c>
      <c r="B33" s="218">
        <v>78850.14</v>
      </c>
      <c r="C33" s="218">
        <v>37.91</v>
      </c>
      <c r="D33" s="218">
        <f>C33*0.35</f>
        <v>13.268499999999998</v>
      </c>
      <c r="E33" s="218">
        <f>F26</f>
        <v>9.076923076923077</v>
      </c>
      <c r="F33" s="218">
        <f>D33+E33</f>
        <v>22.345423076923076</v>
      </c>
      <c r="G33" s="218">
        <f>C33+F33</f>
        <v>60.25542307692307</v>
      </c>
      <c r="H33" s="218">
        <f>G33*1.3</f>
        <v>78.33205</v>
      </c>
      <c r="I33" s="49"/>
      <c r="J33" s="218">
        <f>H33*2080</f>
        <v>162930.664</v>
      </c>
      <c r="K33" s="218">
        <f>J33/4</f>
        <v>40732.666</v>
      </c>
      <c r="L33" s="220">
        <f>K33/3</f>
        <v>13577.555333333332</v>
      </c>
    </row>
    <row r="34" spans="1:12" ht="12.75">
      <c r="A34" s="221"/>
      <c r="B34" s="218"/>
      <c r="C34" s="218"/>
      <c r="D34" s="218"/>
      <c r="E34" s="218"/>
      <c r="F34" s="218"/>
      <c r="G34" s="218"/>
      <c r="H34" s="218"/>
      <c r="I34" s="49"/>
      <c r="J34" s="218"/>
      <c r="K34" s="218"/>
      <c r="L34" s="220"/>
    </row>
    <row r="35" spans="1:12" ht="12.75">
      <c r="A35" s="141" t="s">
        <v>287</v>
      </c>
      <c r="B35" s="218">
        <v>42918.06</v>
      </c>
      <c r="C35" s="218">
        <v>20.63</v>
      </c>
      <c r="D35" s="218">
        <f>C35*0.35</f>
        <v>7.2204999999999995</v>
      </c>
      <c r="E35" s="218">
        <f>F26</f>
        <v>9.076923076923077</v>
      </c>
      <c r="F35" s="218">
        <f>D35+E35</f>
        <v>16.297423076923074</v>
      </c>
      <c r="G35" s="218">
        <f>C35+F35</f>
        <v>36.92742307692308</v>
      </c>
      <c r="H35" s="218">
        <f>G35*1.3</f>
        <v>48.00565</v>
      </c>
      <c r="I35" s="49"/>
      <c r="J35" s="218">
        <f>H35*2080</f>
        <v>99851.75200000001</v>
      </c>
      <c r="K35" s="218">
        <f>J35/4</f>
        <v>24962.938000000002</v>
      </c>
      <c r="L35" s="220">
        <f>K35/3</f>
        <v>8320.979333333335</v>
      </c>
    </row>
    <row r="36" spans="1:12" ht="12.75">
      <c r="A36" s="141" t="s">
        <v>288</v>
      </c>
      <c r="B36" s="218">
        <v>48060.59</v>
      </c>
      <c r="C36" s="218">
        <v>23.11</v>
      </c>
      <c r="D36" s="218">
        <f>C36*0.35</f>
        <v>8.0885</v>
      </c>
      <c r="E36" s="218">
        <f>F26</f>
        <v>9.076923076923077</v>
      </c>
      <c r="F36" s="218">
        <f>D36+E36</f>
        <v>17.165423076923076</v>
      </c>
      <c r="G36" s="218">
        <f>C36+F36</f>
        <v>40.275423076923076</v>
      </c>
      <c r="H36" s="218">
        <f>G36*1.3</f>
        <v>52.35805</v>
      </c>
      <c r="I36" s="49"/>
      <c r="J36" s="218">
        <f>H36*2080</f>
        <v>108904.74399999999</v>
      </c>
      <c r="K36" s="218">
        <f>J36/4</f>
        <v>27226.185999999998</v>
      </c>
      <c r="L36" s="220">
        <f>K36/3</f>
        <v>9075.395333333332</v>
      </c>
    </row>
    <row r="37" spans="1:12" ht="12.75">
      <c r="A37" s="141" t="s">
        <v>289</v>
      </c>
      <c r="B37" s="218">
        <v>35204.27</v>
      </c>
      <c r="C37" s="218">
        <v>16.93</v>
      </c>
      <c r="D37" s="218">
        <f>C37*0.35</f>
        <v>5.9254999999999995</v>
      </c>
      <c r="E37" s="218">
        <f>F26</f>
        <v>9.076923076923077</v>
      </c>
      <c r="F37" s="218">
        <f>D37+E37</f>
        <v>15.002423076923076</v>
      </c>
      <c r="G37" s="218">
        <f>C37+F37</f>
        <v>31.932423076923076</v>
      </c>
      <c r="H37" s="218">
        <f>G37*1.3</f>
        <v>41.51215</v>
      </c>
      <c r="I37" s="49"/>
      <c r="J37" s="218">
        <f>H37*2080</f>
        <v>86345.272</v>
      </c>
      <c r="K37" s="218">
        <f>J37/4</f>
        <v>21586.318</v>
      </c>
      <c r="L37" s="220">
        <f>K37/3</f>
        <v>7195.439333333333</v>
      </c>
    </row>
    <row r="38" spans="1:12" ht="12.75">
      <c r="A38" s="226" t="s">
        <v>290</v>
      </c>
      <c r="B38" s="227">
        <v>42918.06</v>
      </c>
      <c r="C38" s="227">
        <v>20.63</v>
      </c>
      <c r="D38" s="227">
        <f>C38*0.35</f>
        <v>7.2204999999999995</v>
      </c>
      <c r="E38" s="227">
        <f>F26</f>
        <v>9.076923076923077</v>
      </c>
      <c r="F38" s="227">
        <f>D38+E38</f>
        <v>16.297423076923074</v>
      </c>
      <c r="G38" s="227">
        <f>C38+F38</f>
        <v>36.92742307692308</v>
      </c>
      <c r="H38" s="227">
        <f>G38*1.3</f>
        <v>48.00565</v>
      </c>
      <c r="I38" s="228"/>
      <c r="J38" s="227">
        <f>H38*2080</f>
        <v>99851.75200000001</v>
      </c>
      <c r="K38" s="227">
        <f>J38/4</f>
        <v>24962.938000000002</v>
      </c>
      <c r="L38" s="229">
        <f>K38/3</f>
        <v>8320.979333333335</v>
      </c>
    </row>
    <row r="39" spans="1:12" s="236" customFormat="1" ht="13.5">
      <c r="A39" s="232" t="s">
        <v>198</v>
      </c>
      <c r="B39" s="233">
        <f aca="true" t="shared" si="3" ref="B39:H39">SUM(B32:B38)</f>
        <v>326801.26</v>
      </c>
      <c r="C39" s="233">
        <f t="shared" si="3"/>
        <v>157.11999999999998</v>
      </c>
      <c r="D39" s="233">
        <f t="shared" si="3"/>
        <v>54.99199999999999</v>
      </c>
      <c r="E39" s="233">
        <f t="shared" si="3"/>
        <v>54.46153846153847</v>
      </c>
      <c r="F39" s="233">
        <f t="shared" si="3"/>
        <v>109.45353846153844</v>
      </c>
      <c r="G39" s="233">
        <f t="shared" si="3"/>
        <v>266.5735384615384</v>
      </c>
      <c r="H39" s="233">
        <f t="shared" si="3"/>
        <v>346.54560000000004</v>
      </c>
      <c r="I39" s="234"/>
      <c r="J39" s="233">
        <f>H39*2080</f>
        <v>720814.8480000001</v>
      </c>
      <c r="K39" s="233">
        <f>J39/4</f>
        <v>180203.71200000003</v>
      </c>
      <c r="L39" s="235">
        <f>K39/3</f>
        <v>60067.90400000001</v>
      </c>
    </row>
    <row r="40" spans="1:12" ht="12.75">
      <c r="A40" s="230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231"/>
    </row>
    <row r="41" spans="1:12" ht="12.75">
      <c r="A41" s="141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150"/>
    </row>
    <row r="42" spans="1:12" ht="12.75">
      <c r="A42" s="141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150"/>
    </row>
    <row r="43" spans="1:12" ht="12.75">
      <c r="A43" s="141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150"/>
    </row>
    <row r="44" spans="1:12" ht="12.75">
      <c r="A44" s="14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150"/>
    </row>
    <row r="45" spans="1:12" ht="12.75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5"/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Raasina</dc:creator>
  <cp:keywords/>
  <dc:description/>
  <cp:lastModifiedBy>David Sherwin</cp:lastModifiedBy>
  <dcterms:created xsi:type="dcterms:W3CDTF">2010-03-10T05:29:56Z</dcterms:created>
  <dcterms:modified xsi:type="dcterms:W3CDTF">2010-03-10T14:31:24Z</dcterms:modified>
  <cp:category/>
  <cp:version/>
  <cp:contentType/>
  <cp:contentStatus/>
</cp:coreProperties>
</file>